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5480" windowHeight="9165" tabRatio="594"/>
  </bookViews>
  <sheets>
    <sheet name="EVAL-GAST-CORTE-31-12-14" sheetId="6" r:id="rId1"/>
  </sheets>
  <calcPr calcId="145621"/>
</workbook>
</file>

<file path=xl/calcChain.xml><?xml version="1.0" encoding="utf-8"?>
<calcChain xmlns="http://schemas.openxmlformats.org/spreadsheetml/2006/main">
  <c r="I2877" i="6" l="1"/>
  <c r="J2877" i="6" s="1"/>
  <c r="H2877" i="6"/>
  <c r="F2877" i="6"/>
  <c r="I2771" i="6"/>
  <c r="J2771" i="6" s="1"/>
  <c r="H2771" i="6"/>
  <c r="F2771" i="6"/>
  <c r="I2665" i="6"/>
  <c r="J2665" i="6" s="1"/>
  <c r="H2665" i="6"/>
  <c r="F2665" i="6"/>
  <c r="I2559" i="6"/>
  <c r="J2559" i="6" s="1"/>
  <c r="H2559" i="6"/>
  <c r="F2559" i="6"/>
  <c r="I2453" i="6"/>
  <c r="J2453" i="6" s="1"/>
  <c r="H2453" i="6"/>
  <c r="F2453" i="6"/>
  <c r="I2348" i="6"/>
  <c r="J2348" i="6" s="1"/>
  <c r="H2348" i="6"/>
  <c r="F2348" i="6"/>
  <c r="I2243" i="6"/>
  <c r="J2243" i="6" s="1"/>
  <c r="H2243" i="6"/>
  <c r="F2243" i="6"/>
  <c r="I2138" i="6"/>
  <c r="J2138" i="6" s="1"/>
  <c r="H2138" i="6"/>
  <c r="F2138" i="6"/>
  <c r="I2033" i="6"/>
  <c r="J2033" i="6" s="1"/>
  <c r="H2033" i="6"/>
  <c r="F2033" i="6"/>
  <c r="I1927" i="6"/>
  <c r="J1927" i="6" s="1"/>
  <c r="H1927" i="6"/>
  <c r="F1927" i="6"/>
  <c r="I1822" i="6"/>
  <c r="J1822" i="6" s="1"/>
  <c r="H1822" i="6"/>
  <c r="F1822" i="6"/>
  <c r="I1716" i="6"/>
  <c r="J1716" i="6" s="1"/>
  <c r="H1716" i="6"/>
  <c r="F1716" i="6"/>
  <c r="I1611" i="6"/>
  <c r="J1611" i="6" s="1"/>
  <c r="H1611" i="6"/>
  <c r="F1611" i="6"/>
  <c r="I1505" i="6"/>
  <c r="J1505" i="6" s="1"/>
  <c r="H1505" i="6"/>
  <c r="F1505" i="6"/>
  <c r="J1399" i="6"/>
  <c r="K1399" i="6" s="1"/>
  <c r="I1399" i="6"/>
  <c r="G1399" i="6"/>
  <c r="I1293" i="6"/>
  <c r="J1293" i="6" s="1"/>
  <c r="H1293" i="6"/>
  <c r="F1293" i="6"/>
  <c r="I1187" i="6"/>
  <c r="K1187" i="6" s="1"/>
  <c r="H1187" i="6"/>
  <c r="F1187" i="6"/>
  <c r="I1081" i="6"/>
  <c r="J1081" i="6" s="1"/>
  <c r="H1081" i="6"/>
  <c r="F1081" i="6"/>
  <c r="I975" i="6"/>
  <c r="J975" i="6" s="1"/>
  <c r="H975" i="6"/>
  <c r="F975" i="6"/>
  <c r="I870" i="6"/>
  <c r="J870" i="6" s="1"/>
  <c r="H870" i="6"/>
  <c r="F870" i="6"/>
  <c r="I764" i="6"/>
  <c r="K764" i="6" s="1"/>
  <c r="L764" i="6" s="1"/>
  <c r="H764" i="6"/>
  <c r="F764" i="6"/>
  <c r="H658" i="6"/>
  <c r="F658" i="6"/>
  <c r="I658" i="6"/>
  <c r="K658" i="6" s="1"/>
  <c r="L658" i="6" s="1"/>
  <c r="K2877" i="6" l="1"/>
  <c r="L2877" i="6" s="1"/>
  <c r="K2771" i="6"/>
  <c r="L2771" i="6" s="1"/>
  <c r="K2665" i="6"/>
  <c r="L2665" i="6" s="1"/>
  <c r="K2559" i="6"/>
  <c r="L2559" i="6" s="1"/>
  <c r="K2453" i="6"/>
  <c r="L2453" i="6" s="1"/>
  <c r="K2348" i="6"/>
  <c r="L2348" i="6" s="1"/>
  <c r="K2243" i="6"/>
  <c r="L2243" i="6" s="1"/>
  <c r="K2138" i="6"/>
  <c r="L2138" i="6" s="1"/>
  <c r="K2033" i="6"/>
  <c r="L2033" i="6" s="1"/>
  <c r="K1927" i="6"/>
  <c r="L1927" i="6" s="1"/>
  <c r="K1822" i="6"/>
  <c r="L1822" i="6" s="1"/>
  <c r="K1716" i="6"/>
  <c r="L1716" i="6" s="1"/>
  <c r="K1611" i="6"/>
  <c r="L1611" i="6" s="1"/>
  <c r="K1505" i="6"/>
  <c r="L1505" i="6" s="1"/>
  <c r="L1399" i="6"/>
  <c r="M1399" i="6" s="1"/>
  <c r="K1293" i="6"/>
  <c r="L1293" i="6" s="1"/>
  <c r="J1187" i="6"/>
  <c r="K1081" i="6"/>
  <c r="L1081" i="6" s="1"/>
  <c r="J658" i="6"/>
  <c r="J764" i="6"/>
  <c r="K975" i="6"/>
  <c r="L975" i="6" s="1"/>
  <c r="K870" i="6"/>
  <c r="L870" i="6" s="1"/>
  <c r="J575" i="6"/>
  <c r="G575" i="6"/>
  <c r="H575" i="6" s="1"/>
  <c r="F575" i="6"/>
  <c r="J531" i="6"/>
  <c r="G531" i="6"/>
  <c r="H531" i="6" s="1"/>
  <c r="F531" i="6"/>
  <c r="J487" i="6"/>
  <c r="G487" i="6"/>
  <c r="H487" i="6" s="1"/>
  <c r="F487" i="6"/>
  <c r="J443" i="6"/>
  <c r="G443" i="6"/>
  <c r="H443" i="6" s="1"/>
  <c r="F443" i="6"/>
  <c r="J399" i="6"/>
  <c r="G399" i="6"/>
  <c r="H399" i="6" s="1"/>
  <c r="F399" i="6"/>
  <c r="J355" i="6"/>
  <c r="G355" i="6"/>
  <c r="H355" i="6" s="1"/>
  <c r="F355" i="6"/>
  <c r="J311" i="6"/>
  <c r="G311" i="6"/>
  <c r="H311" i="6" s="1"/>
  <c r="F311" i="6"/>
  <c r="J267" i="6"/>
  <c r="G267" i="6"/>
  <c r="H267" i="6" s="1"/>
  <c r="F267" i="6"/>
  <c r="J223" i="6"/>
  <c r="G223" i="6"/>
  <c r="H223" i="6" s="1"/>
  <c r="F223" i="6"/>
  <c r="J180" i="6"/>
  <c r="G180" i="6"/>
  <c r="H180" i="6" s="1"/>
  <c r="F180" i="6"/>
  <c r="J135" i="6"/>
  <c r="G135" i="6"/>
  <c r="H135" i="6" s="1"/>
  <c r="F135" i="6"/>
  <c r="J92" i="6"/>
  <c r="G92" i="6"/>
  <c r="H92" i="6" s="1"/>
  <c r="F92" i="6"/>
  <c r="J47" i="6"/>
  <c r="G47" i="6"/>
  <c r="H47" i="6" s="1"/>
  <c r="F47" i="6"/>
  <c r="J9" i="6"/>
  <c r="G9" i="6"/>
  <c r="H9" i="6" s="1"/>
  <c r="F9" i="6"/>
  <c r="E2844" i="6" l="1"/>
  <c r="E2829" i="6"/>
  <c r="E2730" i="6"/>
  <c r="E2725" i="6"/>
  <c r="E2719" i="6"/>
  <c r="E2626" i="6"/>
  <c r="E2624" i="6"/>
  <c r="E2622" i="6"/>
  <c r="E2615" i="6"/>
  <c r="E2613" i="6"/>
  <c r="E2522" i="6"/>
  <c r="E2520" i="6"/>
  <c r="E2511" i="6"/>
  <c r="E2509" i="6"/>
  <c r="E2507" i="6"/>
  <c r="E2418" i="6"/>
  <c r="E2416" i="6"/>
  <c r="E2414" i="6"/>
  <c r="E2412" i="6"/>
  <c r="E2410" i="6"/>
  <c r="E2405" i="6"/>
  <c r="E2403" i="6"/>
  <c r="E2401" i="6"/>
  <c r="E2311" i="6"/>
  <c r="E2307" i="6"/>
  <c r="E2305" i="6"/>
  <c r="E2298" i="6"/>
  <c r="E2296" i="6"/>
  <c r="E2206" i="6"/>
  <c r="E2204" i="6"/>
  <c r="E2202" i="6"/>
  <c r="E2200" i="6"/>
  <c r="E2193" i="6"/>
  <c r="E2191" i="6"/>
  <c r="E2101" i="6"/>
  <c r="E2097" i="6"/>
  <c r="E2095" i="6"/>
  <c r="E2086" i="6"/>
  <c r="E1995" i="6"/>
  <c r="E1993" i="6"/>
  <c r="E1991" i="6"/>
  <c r="E1989" i="6"/>
  <c r="E1982" i="6"/>
  <c r="E1980" i="6"/>
  <c r="E1891" i="6"/>
  <c r="E1887" i="6"/>
  <c r="E1885" i="6"/>
  <c r="E1878" i="6"/>
  <c r="E1876" i="6"/>
  <c r="E1788" i="6"/>
  <c r="E1786" i="6"/>
  <c r="E1784" i="6"/>
  <c r="E1782" i="6"/>
  <c r="E1780" i="6"/>
  <c r="E1773" i="6"/>
  <c r="E1771" i="6"/>
  <c r="E1680" i="6"/>
  <c r="E1676" i="6"/>
  <c r="E1674" i="6"/>
  <c r="E1667" i="6"/>
  <c r="E1665" i="6"/>
  <c r="E1575" i="6"/>
  <c r="E1571" i="6"/>
  <c r="E1569" i="6"/>
  <c r="E1562" i="6"/>
  <c r="E1560" i="6"/>
  <c r="E1456" i="6"/>
  <c r="E1454" i="6"/>
  <c r="E1363" i="6"/>
  <c r="E1359" i="6"/>
  <c r="E1357" i="6"/>
  <c r="E1350" i="6"/>
  <c r="E1348" i="6"/>
  <c r="E1257" i="6"/>
  <c r="E1253" i="6"/>
  <c r="E1251" i="6"/>
  <c r="E1244" i="6"/>
  <c r="E1242" i="6"/>
  <c r="E1151" i="6"/>
  <c r="E1149" i="6"/>
  <c r="E1147" i="6"/>
  <c r="E1145" i="6"/>
  <c r="E1138" i="6"/>
  <c r="E1136" i="6"/>
  <c r="E1045" i="6"/>
  <c r="E1032" i="6"/>
  <c r="E1030" i="6"/>
  <c r="E940" i="6"/>
  <c r="E938" i="6"/>
  <c r="E934" i="6"/>
  <c r="E932" i="6"/>
  <c r="E927" i="6"/>
  <c r="E925" i="6"/>
  <c r="E923" i="6"/>
  <c r="E833" i="6"/>
  <c r="E829" i="6"/>
  <c r="E827" i="6"/>
  <c r="E820" i="6"/>
  <c r="E818" i="6"/>
  <c r="E727" i="6"/>
  <c r="E725" i="6"/>
  <c r="E723" i="6"/>
  <c r="E721" i="6"/>
  <c r="E716" i="6"/>
  <c r="E714" i="6"/>
  <c r="E712" i="6"/>
  <c r="E628" i="6"/>
  <c r="E626" i="6"/>
  <c r="E624" i="6"/>
  <c r="E622" i="6"/>
  <c r="E617" i="6"/>
  <c r="E615" i="6"/>
  <c r="E613" i="6"/>
  <c r="D2850" i="6" l="1"/>
  <c r="C2850" i="6"/>
  <c r="E2848" i="6"/>
  <c r="G2848" i="6" s="1"/>
  <c r="E2846" i="6"/>
  <c r="F2846" i="6" s="1"/>
  <c r="G2844" i="6"/>
  <c r="E2842" i="6"/>
  <c r="G2842" i="6" s="1"/>
  <c r="G2840" i="6"/>
  <c r="F2840" i="6"/>
  <c r="E2838" i="6"/>
  <c r="G2838" i="6" s="1"/>
  <c r="E2836" i="6"/>
  <c r="G2836" i="6" s="1"/>
  <c r="E2834" i="6"/>
  <c r="D2833" i="6"/>
  <c r="I2833" i="6" s="1"/>
  <c r="C2833" i="6"/>
  <c r="H2833" i="6" s="1"/>
  <c r="E2831" i="6"/>
  <c r="F2831" i="6" s="1"/>
  <c r="G2829" i="6"/>
  <c r="E2827" i="6"/>
  <c r="F2827" i="6" s="1"/>
  <c r="E2825" i="6"/>
  <c r="G2825" i="6" s="1"/>
  <c r="D2744" i="6"/>
  <c r="C2744" i="6"/>
  <c r="E2742" i="6"/>
  <c r="F2742" i="6" s="1"/>
  <c r="E2740" i="6"/>
  <c r="G2740" i="6" s="1"/>
  <c r="E2738" i="6"/>
  <c r="F2738" i="6" s="1"/>
  <c r="E2736" i="6"/>
  <c r="G2736" i="6" s="1"/>
  <c r="G2734" i="6"/>
  <c r="F2734" i="6"/>
  <c r="E2732" i="6"/>
  <c r="F2732" i="6" s="1"/>
  <c r="G2730" i="6"/>
  <c r="E2728" i="6"/>
  <c r="F2728" i="6" s="1"/>
  <c r="D2727" i="6"/>
  <c r="I2727" i="6" s="1"/>
  <c r="C2727" i="6"/>
  <c r="G2725" i="6"/>
  <c r="G2723" i="6"/>
  <c r="F2723" i="6"/>
  <c r="E2721" i="6"/>
  <c r="F2721" i="6" s="1"/>
  <c r="D2638" i="6"/>
  <c r="C2638" i="6"/>
  <c r="E2636" i="6"/>
  <c r="G2636" i="6" s="1"/>
  <c r="E2634" i="6"/>
  <c r="G2634" i="6" s="1"/>
  <c r="E2632" i="6"/>
  <c r="G2632" i="6" s="1"/>
  <c r="E2630" i="6"/>
  <c r="G2630" i="6" s="1"/>
  <c r="E2628" i="6"/>
  <c r="G2628" i="6" s="1"/>
  <c r="G2626" i="6"/>
  <c r="F2624" i="6"/>
  <c r="G2624" i="6"/>
  <c r="D2621" i="6"/>
  <c r="I2621" i="6" s="1"/>
  <c r="C2621" i="6"/>
  <c r="C2639" i="6" s="1"/>
  <c r="G2619" i="6"/>
  <c r="F2619" i="6"/>
  <c r="E2617" i="6"/>
  <c r="G2617" i="6" s="1"/>
  <c r="G2615" i="6"/>
  <c r="E2621" i="6"/>
  <c r="D2532" i="6"/>
  <c r="C2532" i="6"/>
  <c r="E2530" i="6"/>
  <c r="G2530" i="6" s="1"/>
  <c r="E2528" i="6"/>
  <c r="F2528" i="6" s="1"/>
  <c r="E2526" i="6"/>
  <c r="G2526" i="6" s="1"/>
  <c r="E2524" i="6"/>
  <c r="F2524" i="6" s="1"/>
  <c r="G2522" i="6"/>
  <c r="F2520" i="6"/>
  <c r="E2518" i="6"/>
  <c r="G2518" i="6" s="1"/>
  <c r="E2516" i="6"/>
  <c r="D2515" i="6"/>
  <c r="I2515" i="6" s="1"/>
  <c r="C2515" i="6"/>
  <c r="G2513" i="6"/>
  <c r="F2513" i="6"/>
  <c r="G2511" i="6"/>
  <c r="F2509" i="6"/>
  <c r="F2507" i="6"/>
  <c r="E2515" i="6"/>
  <c r="D2426" i="6"/>
  <c r="C2426" i="6"/>
  <c r="E2424" i="6"/>
  <c r="F2424" i="6" s="1"/>
  <c r="E2422" i="6"/>
  <c r="G2422" i="6" s="1"/>
  <c r="E2420" i="6"/>
  <c r="F2420" i="6" s="1"/>
  <c r="G2418" i="6"/>
  <c r="F2416" i="6"/>
  <c r="G2414" i="6"/>
  <c r="F2412" i="6"/>
  <c r="G2410" i="6"/>
  <c r="D2409" i="6"/>
  <c r="I2409" i="6" s="1"/>
  <c r="C2409" i="6"/>
  <c r="C2427" i="6" s="1"/>
  <c r="E2407" i="6"/>
  <c r="F2407" i="6" s="1"/>
  <c r="G2405" i="6"/>
  <c r="F2403" i="6"/>
  <c r="G2401" i="6"/>
  <c r="D2321" i="6"/>
  <c r="I2321" i="6" s="1"/>
  <c r="C2321" i="6"/>
  <c r="E2319" i="6"/>
  <c r="G2319" i="6" s="1"/>
  <c r="E2317" i="6"/>
  <c r="G2317" i="6" s="1"/>
  <c r="E2315" i="6"/>
  <c r="G2315" i="6" s="1"/>
  <c r="E2313" i="6"/>
  <c r="G2313" i="6" s="1"/>
  <c r="G2311" i="6"/>
  <c r="E2309" i="6"/>
  <c r="G2309" i="6" s="1"/>
  <c r="F2305" i="6"/>
  <c r="G2305" i="6"/>
  <c r="D2304" i="6"/>
  <c r="D2322" i="6" s="1"/>
  <c r="I2322" i="6" s="1"/>
  <c r="C2304" i="6"/>
  <c r="E2302" i="6"/>
  <c r="G2302" i="6" s="1"/>
  <c r="E2300" i="6"/>
  <c r="G2300" i="6" s="1"/>
  <c r="G2296" i="6"/>
  <c r="D2216" i="6"/>
  <c r="I2216" i="6" s="1"/>
  <c r="C2216" i="6"/>
  <c r="E2214" i="6"/>
  <c r="G2214" i="6" s="1"/>
  <c r="E2212" i="6"/>
  <c r="G2212" i="6" s="1"/>
  <c r="E2210" i="6"/>
  <c r="G2210" i="6" s="1"/>
  <c r="E2208" i="6"/>
  <c r="G2208" i="6" s="1"/>
  <c r="G2206" i="6"/>
  <c r="G2204" i="6"/>
  <c r="F2200" i="6"/>
  <c r="G2200" i="6"/>
  <c r="D2199" i="6"/>
  <c r="C2199" i="6"/>
  <c r="E2197" i="6"/>
  <c r="G2197" i="6" s="1"/>
  <c r="E2195" i="6"/>
  <c r="G2195" i="6" s="1"/>
  <c r="G2191" i="6"/>
  <c r="D2111" i="6"/>
  <c r="I2111" i="6" s="1"/>
  <c r="C2111" i="6"/>
  <c r="E2109" i="6"/>
  <c r="G2109" i="6" s="1"/>
  <c r="E2107" i="6"/>
  <c r="G2107" i="6" s="1"/>
  <c r="E2105" i="6"/>
  <c r="G2105" i="6" s="1"/>
  <c r="E2103" i="6"/>
  <c r="G2103" i="6" s="1"/>
  <c r="G2101" i="6"/>
  <c r="E2099" i="6"/>
  <c r="G2099" i="6" s="1"/>
  <c r="G2097" i="6"/>
  <c r="D2094" i="6"/>
  <c r="C2094" i="6"/>
  <c r="E2092" i="6"/>
  <c r="G2092" i="6" s="1"/>
  <c r="E2090" i="6"/>
  <c r="G2090" i="6" s="1"/>
  <c r="E2088" i="6"/>
  <c r="F2086" i="6"/>
  <c r="G2086" i="6"/>
  <c r="D2005" i="6"/>
  <c r="I2005" i="6" s="1"/>
  <c r="C2005" i="6"/>
  <c r="E2003" i="6"/>
  <c r="G2003" i="6" s="1"/>
  <c r="E2001" i="6"/>
  <c r="G2001" i="6" s="1"/>
  <c r="E1999" i="6"/>
  <c r="G1999" i="6" s="1"/>
  <c r="E1997" i="6"/>
  <c r="G1997" i="6" s="1"/>
  <c r="G1995" i="6"/>
  <c r="G1993" i="6"/>
  <c r="G1991" i="6"/>
  <c r="D1988" i="6"/>
  <c r="I1988" i="6" s="1"/>
  <c r="C1988" i="6"/>
  <c r="E1986" i="6"/>
  <c r="G1986" i="6" s="1"/>
  <c r="E1984" i="6"/>
  <c r="G1984" i="6" s="1"/>
  <c r="G1982" i="6"/>
  <c r="D1901" i="6"/>
  <c r="C1901" i="6"/>
  <c r="E1899" i="6"/>
  <c r="G1899" i="6" s="1"/>
  <c r="E1897" i="6"/>
  <c r="F1897" i="6" s="1"/>
  <c r="E1895" i="6"/>
  <c r="G1895" i="6" s="1"/>
  <c r="E1893" i="6"/>
  <c r="F1893" i="6" s="1"/>
  <c r="G1891" i="6"/>
  <c r="E1889" i="6"/>
  <c r="G1889" i="6" s="1"/>
  <c r="G1887" i="6"/>
  <c r="F1885" i="6"/>
  <c r="D1884" i="6"/>
  <c r="I1884" i="6" s="1"/>
  <c r="C1884" i="6"/>
  <c r="E1882" i="6"/>
  <c r="F1882" i="6" s="1"/>
  <c r="E1880" i="6"/>
  <c r="G1880" i="6" s="1"/>
  <c r="G1878" i="6"/>
  <c r="D1796" i="6"/>
  <c r="C1796" i="6"/>
  <c r="E1794" i="6"/>
  <c r="G1794" i="6" s="1"/>
  <c r="E1792" i="6"/>
  <c r="G1792" i="6" s="1"/>
  <c r="E1790" i="6"/>
  <c r="G1790" i="6" s="1"/>
  <c r="G1788" i="6"/>
  <c r="F1786" i="6"/>
  <c r="G1786" i="6"/>
  <c r="G1784" i="6"/>
  <c r="G1782" i="6"/>
  <c r="G1780" i="6"/>
  <c r="D1779" i="6"/>
  <c r="I1779" i="6" s="1"/>
  <c r="C1779" i="6"/>
  <c r="E1777" i="6"/>
  <c r="G1777" i="6" s="1"/>
  <c r="E1775" i="6"/>
  <c r="G1775" i="6" s="1"/>
  <c r="G1773" i="6"/>
  <c r="G1771" i="6"/>
  <c r="D1690" i="6"/>
  <c r="C1690" i="6"/>
  <c r="E1688" i="6"/>
  <c r="G1688" i="6" s="1"/>
  <c r="E1686" i="6"/>
  <c r="G1686" i="6" s="1"/>
  <c r="E1684" i="6"/>
  <c r="G1684" i="6" s="1"/>
  <c r="E1682" i="6"/>
  <c r="G1682" i="6" s="1"/>
  <c r="F1680" i="6"/>
  <c r="G1680" i="6"/>
  <c r="E1678" i="6"/>
  <c r="G1678" i="6" s="1"/>
  <c r="G1676" i="6"/>
  <c r="G1674" i="6"/>
  <c r="D1673" i="6"/>
  <c r="I1673" i="6" s="1"/>
  <c r="C1673" i="6"/>
  <c r="E1671" i="6"/>
  <c r="F1671" i="6" s="1"/>
  <c r="E1669" i="6"/>
  <c r="G1669" i="6" s="1"/>
  <c r="F1667" i="6"/>
  <c r="G1665" i="6"/>
  <c r="D1585" i="6"/>
  <c r="C1585" i="6"/>
  <c r="E1583" i="6"/>
  <c r="G1583" i="6" s="1"/>
  <c r="E1581" i="6"/>
  <c r="G1581" i="6" s="1"/>
  <c r="E1579" i="6"/>
  <c r="G1579" i="6" s="1"/>
  <c r="E1577" i="6"/>
  <c r="G1577" i="6" s="1"/>
  <c r="F1575" i="6"/>
  <c r="E1573" i="6"/>
  <c r="G1573" i="6" s="1"/>
  <c r="F1571" i="6"/>
  <c r="G1569" i="6"/>
  <c r="D1568" i="6"/>
  <c r="I1568" i="6" s="1"/>
  <c r="C1568" i="6"/>
  <c r="C1586" i="6" s="1"/>
  <c r="E1566" i="6"/>
  <c r="F1566" i="6" s="1"/>
  <c r="E1564" i="6"/>
  <c r="G1564" i="6" s="1"/>
  <c r="F1562" i="6"/>
  <c r="G1560" i="6"/>
  <c r="D1479" i="6"/>
  <c r="C1479" i="6"/>
  <c r="E1477" i="6"/>
  <c r="G1477" i="6" s="1"/>
  <c r="E1475" i="6"/>
  <c r="F1475" i="6" s="1"/>
  <c r="E1473" i="6"/>
  <c r="G1473" i="6" s="1"/>
  <c r="E1471" i="6"/>
  <c r="G1471" i="6" s="1"/>
  <c r="E1469" i="6"/>
  <c r="G1469" i="6" s="1"/>
  <c r="E1467" i="6"/>
  <c r="G1467" i="6" s="1"/>
  <c r="E1465" i="6"/>
  <c r="G1465" i="6" s="1"/>
  <c r="E1463" i="6"/>
  <c r="D1462" i="6"/>
  <c r="I1462" i="6" s="1"/>
  <c r="C1462" i="6"/>
  <c r="C1480" i="6" s="1"/>
  <c r="E1460" i="6"/>
  <c r="G1460" i="6" s="1"/>
  <c r="E1458" i="6"/>
  <c r="G1458" i="6" s="1"/>
  <c r="G1456" i="6"/>
  <c r="F1454" i="6"/>
  <c r="D1373" i="6"/>
  <c r="C1373" i="6"/>
  <c r="E1371" i="6"/>
  <c r="G1371" i="6" s="1"/>
  <c r="E1369" i="6"/>
  <c r="F1369" i="6" s="1"/>
  <c r="E1367" i="6"/>
  <c r="G1367" i="6" s="1"/>
  <c r="E1365" i="6"/>
  <c r="F1365" i="6" s="1"/>
  <c r="G1363" i="6"/>
  <c r="E1361" i="6"/>
  <c r="F1361" i="6" s="1"/>
  <c r="G1359" i="6"/>
  <c r="D1356" i="6"/>
  <c r="I1356" i="6" s="1"/>
  <c r="C1356" i="6"/>
  <c r="E1354" i="6"/>
  <c r="G1354" i="6" s="1"/>
  <c r="E1352" i="6"/>
  <c r="F1352" i="6" s="1"/>
  <c r="G1350" i="6"/>
  <c r="D1267" i="6"/>
  <c r="C1267" i="6"/>
  <c r="E1265" i="6"/>
  <c r="G1265" i="6" s="1"/>
  <c r="E1263" i="6"/>
  <c r="G1263" i="6" s="1"/>
  <c r="E1261" i="6"/>
  <c r="G1261" i="6" s="1"/>
  <c r="E1259" i="6"/>
  <c r="G1259" i="6" s="1"/>
  <c r="F1257" i="6"/>
  <c r="G1257" i="6"/>
  <c r="E1255" i="6"/>
  <c r="G1255" i="6" s="1"/>
  <c r="G1253" i="6"/>
  <c r="G1251" i="6"/>
  <c r="D1250" i="6"/>
  <c r="I1250" i="6" s="1"/>
  <c r="C1250" i="6"/>
  <c r="E1248" i="6"/>
  <c r="G1248" i="6" s="1"/>
  <c r="E1246" i="6"/>
  <c r="G1246" i="6" s="1"/>
  <c r="G1244" i="6"/>
  <c r="G1242" i="6"/>
  <c r="D1161" i="6"/>
  <c r="C1161" i="6"/>
  <c r="E1159" i="6"/>
  <c r="G1159" i="6" s="1"/>
  <c r="E1157" i="6"/>
  <c r="G1157" i="6" s="1"/>
  <c r="E1155" i="6"/>
  <c r="G1155" i="6" s="1"/>
  <c r="E1153" i="6"/>
  <c r="G1153" i="6" s="1"/>
  <c r="F1151" i="6"/>
  <c r="G1151" i="6"/>
  <c r="G1149" i="6"/>
  <c r="G1147" i="6"/>
  <c r="G1145" i="6"/>
  <c r="D1144" i="6"/>
  <c r="C1144" i="6"/>
  <c r="H1144" i="6" s="1"/>
  <c r="E1142" i="6"/>
  <c r="G1142" i="6" s="1"/>
  <c r="E1140" i="6"/>
  <c r="G1140" i="6" s="1"/>
  <c r="G1138" i="6"/>
  <c r="G1136" i="6"/>
  <c r="D1055" i="6"/>
  <c r="C1055" i="6"/>
  <c r="E1053" i="6"/>
  <c r="G1053" i="6" s="1"/>
  <c r="E1051" i="6"/>
  <c r="G1051" i="6" s="1"/>
  <c r="E1049" i="6"/>
  <c r="G1049" i="6" s="1"/>
  <c r="E1047" i="6"/>
  <c r="G1047" i="6" s="1"/>
  <c r="F1045" i="6"/>
  <c r="G1045" i="6"/>
  <c r="E1043" i="6"/>
  <c r="G1043" i="6" s="1"/>
  <c r="E1041" i="6"/>
  <c r="G1041" i="6" s="1"/>
  <c r="E1039" i="6"/>
  <c r="G1039" i="6" s="1"/>
  <c r="D1038" i="6"/>
  <c r="C1038" i="6"/>
  <c r="E1036" i="6"/>
  <c r="G1036" i="6" s="1"/>
  <c r="E1034" i="6"/>
  <c r="G1034" i="6" s="1"/>
  <c r="G1032" i="6"/>
  <c r="G1030" i="6"/>
  <c r="D948" i="6"/>
  <c r="C948" i="6"/>
  <c r="E946" i="6"/>
  <c r="G946" i="6" s="1"/>
  <c r="E944" i="6"/>
  <c r="G944" i="6" s="1"/>
  <c r="E942" i="6"/>
  <c r="G942" i="6" s="1"/>
  <c r="G940" i="6"/>
  <c r="F938" i="6"/>
  <c r="G938" i="6"/>
  <c r="E936" i="6"/>
  <c r="G936" i="6" s="1"/>
  <c r="F934" i="6"/>
  <c r="G934" i="6"/>
  <c r="G932" i="6"/>
  <c r="D931" i="6"/>
  <c r="I931" i="6" s="1"/>
  <c r="C931" i="6"/>
  <c r="C949" i="6" s="1"/>
  <c r="E929" i="6"/>
  <c r="G929" i="6" s="1"/>
  <c r="G927" i="6"/>
  <c r="G925" i="6"/>
  <c r="G923" i="6"/>
  <c r="D843" i="6"/>
  <c r="C843" i="6"/>
  <c r="E841" i="6"/>
  <c r="G841" i="6" s="1"/>
  <c r="E839" i="6"/>
  <c r="G839" i="6" s="1"/>
  <c r="E837" i="6"/>
  <c r="G837" i="6" s="1"/>
  <c r="E835" i="6"/>
  <c r="G835" i="6" s="1"/>
  <c r="F833" i="6"/>
  <c r="G833" i="6"/>
  <c r="E831" i="6"/>
  <c r="G831" i="6" s="1"/>
  <c r="G829" i="6"/>
  <c r="G827" i="6"/>
  <c r="D826" i="6"/>
  <c r="I826" i="6" s="1"/>
  <c r="C826" i="6"/>
  <c r="E824" i="6"/>
  <c r="G824" i="6" s="1"/>
  <c r="E822" i="6"/>
  <c r="G822" i="6" s="1"/>
  <c r="G820" i="6"/>
  <c r="G818" i="6"/>
  <c r="D737" i="6"/>
  <c r="C737" i="6"/>
  <c r="E735" i="6"/>
  <c r="F735" i="6" s="1"/>
  <c r="E733" i="6"/>
  <c r="G733" i="6" s="1"/>
  <c r="E731" i="6"/>
  <c r="F731" i="6" s="1"/>
  <c r="E729" i="6"/>
  <c r="G729" i="6" s="1"/>
  <c r="F727" i="6"/>
  <c r="G725" i="6"/>
  <c r="F723" i="6"/>
  <c r="G721" i="6"/>
  <c r="D720" i="6"/>
  <c r="I720" i="6" s="1"/>
  <c r="C720" i="6"/>
  <c r="C738" i="6" s="1"/>
  <c r="E718" i="6"/>
  <c r="F718" i="6" s="1"/>
  <c r="G716" i="6"/>
  <c r="F714" i="6"/>
  <c r="G712" i="6"/>
  <c r="D638" i="6"/>
  <c r="C638" i="6"/>
  <c r="G636" i="6"/>
  <c r="F636" i="6"/>
  <c r="G634" i="6"/>
  <c r="F634" i="6"/>
  <c r="G632" i="6"/>
  <c r="F632" i="6"/>
  <c r="G630" i="6"/>
  <c r="F630" i="6"/>
  <c r="F628" i="6"/>
  <c r="G628" i="6"/>
  <c r="G626" i="6"/>
  <c r="G624" i="6"/>
  <c r="G622" i="6"/>
  <c r="D621" i="6"/>
  <c r="C621" i="6"/>
  <c r="G619" i="6"/>
  <c r="F619" i="6"/>
  <c r="F617" i="6"/>
  <c r="G617" i="6"/>
  <c r="G615" i="6"/>
  <c r="E1479" i="6" l="1"/>
  <c r="J1479" i="6" s="1"/>
  <c r="C1691" i="6"/>
  <c r="H1691" i="6" s="1"/>
  <c r="C639" i="6"/>
  <c r="C1056" i="6"/>
  <c r="C1268" i="6"/>
  <c r="F2636" i="6"/>
  <c r="C844" i="6"/>
  <c r="E1462" i="6"/>
  <c r="J1462" i="6" s="1"/>
  <c r="K1462" i="6" s="1"/>
  <c r="C1797" i="6"/>
  <c r="H1797" i="6" s="1"/>
  <c r="E1988" i="6"/>
  <c r="J1988" i="6" s="1"/>
  <c r="K1988" i="6" s="1"/>
  <c r="E2111" i="6"/>
  <c r="J2111" i="6" s="1"/>
  <c r="F2309" i="6"/>
  <c r="G1882" i="6"/>
  <c r="F2090" i="6"/>
  <c r="F841" i="6"/>
  <c r="F1463" i="6"/>
  <c r="F2317" i="6"/>
  <c r="E2532" i="6"/>
  <c r="J2532" i="6" s="1"/>
  <c r="F2518" i="6"/>
  <c r="F2628" i="6"/>
  <c r="C2745" i="6"/>
  <c r="F2825" i="6"/>
  <c r="E2850" i="6"/>
  <c r="K2849" i="6" s="1"/>
  <c r="F2836" i="6"/>
  <c r="F1471" i="6"/>
  <c r="F2103" i="6"/>
  <c r="F2208" i="6"/>
  <c r="D2851" i="6"/>
  <c r="I2851" i="6" s="1"/>
  <c r="H826" i="6"/>
  <c r="F837" i="6"/>
  <c r="F929" i="6"/>
  <c r="F942" i="6"/>
  <c r="F1036" i="6"/>
  <c r="F1041" i="6"/>
  <c r="F1049" i="6"/>
  <c r="F1142" i="6"/>
  <c r="F1159" i="6"/>
  <c r="H1250" i="6"/>
  <c r="I1249" i="6" s="1"/>
  <c r="F1261" i="6"/>
  <c r="F1371" i="6"/>
  <c r="G1479" i="6"/>
  <c r="L1479" i="6" s="1"/>
  <c r="F1579" i="6"/>
  <c r="F1688" i="6"/>
  <c r="H1779" i="6"/>
  <c r="M1779" i="6" s="1"/>
  <c r="M1778" i="6" s="1"/>
  <c r="F1790" i="6"/>
  <c r="F1984" i="6"/>
  <c r="F1997" i="6"/>
  <c r="F2099" i="6"/>
  <c r="F2107" i="6"/>
  <c r="F2195" i="6"/>
  <c r="F2212" i="6"/>
  <c r="F2300" i="6"/>
  <c r="F2313" i="6"/>
  <c r="F2526" i="6"/>
  <c r="F2617" i="6"/>
  <c r="E2638" i="6"/>
  <c r="J2638" i="6" s="1"/>
  <c r="F2632" i="6"/>
  <c r="E2727" i="6"/>
  <c r="J2727" i="6" s="1"/>
  <c r="F2842" i="6"/>
  <c r="F824" i="6"/>
  <c r="H931" i="6"/>
  <c r="I930" i="6" s="1"/>
  <c r="F946" i="6"/>
  <c r="H1038" i="6"/>
  <c r="F1053" i="6"/>
  <c r="F1155" i="6"/>
  <c r="C1162" i="6"/>
  <c r="H1162" i="6" s="1"/>
  <c r="F1248" i="6"/>
  <c r="F1265" i="6"/>
  <c r="F1367" i="6"/>
  <c r="F1458" i="6"/>
  <c r="F1467" i="6"/>
  <c r="F1583" i="6"/>
  <c r="F1684" i="6"/>
  <c r="F1777" i="6"/>
  <c r="F1794" i="6"/>
  <c r="F1889" i="6"/>
  <c r="F2001" i="6"/>
  <c r="H2621" i="6"/>
  <c r="M2621" i="6" s="1"/>
  <c r="M2620" i="6" s="1"/>
  <c r="D2745" i="6"/>
  <c r="I2745" i="6" s="1"/>
  <c r="F2613" i="6"/>
  <c r="D2533" i="6"/>
  <c r="I2533" i="6" s="1"/>
  <c r="D2427" i="6"/>
  <c r="I2427" i="6" s="1"/>
  <c r="E2321" i="6"/>
  <c r="K2321" i="6" s="1"/>
  <c r="I2304" i="6"/>
  <c r="F2296" i="6"/>
  <c r="E2304" i="6"/>
  <c r="J2304" i="6" s="1"/>
  <c r="D2217" i="6"/>
  <c r="I2217" i="6" s="1"/>
  <c r="F2204" i="6"/>
  <c r="E2216" i="6"/>
  <c r="J2216" i="6" s="1"/>
  <c r="F2191" i="6"/>
  <c r="E2199" i="6"/>
  <c r="E2217" i="6" s="1"/>
  <c r="J2217" i="6" s="1"/>
  <c r="K2217" i="6" s="1"/>
  <c r="I2199" i="6"/>
  <c r="D2112" i="6"/>
  <c r="I2112" i="6" s="1"/>
  <c r="F2095" i="6"/>
  <c r="E2094" i="6"/>
  <c r="E2112" i="6" s="1"/>
  <c r="J2112" i="6" s="1"/>
  <c r="I2094" i="6"/>
  <c r="E2005" i="6"/>
  <c r="K2005" i="6" s="1"/>
  <c r="F1993" i="6"/>
  <c r="F1989" i="6"/>
  <c r="F1980" i="6"/>
  <c r="D2006" i="6"/>
  <c r="E1901" i="6"/>
  <c r="J1901" i="6" s="1"/>
  <c r="E1884" i="6"/>
  <c r="G1884" i="6" s="1"/>
  <c r="F1878" i="6"/>
  <c r="D1902" i="6"/>
  <c r="F1782" i="6"/>
  <c r="F1773" i="6"/>
  <c r="F1676" i="6"/>
  <c r="E1373" i="6"/>
  <c r="K1372" i="6" s="1"/>
  <c r="E1356" i="6"/>
  <c r="J1356" i="6" s="1"/>
  <c r="K1356" i="6" s="1"/>
  <c r="F1348" i="6"/>
  <c r="D1374" i="6"/>
  <c r="I1374" i="6" s="1"/>
  <c r="F1253" i="6"/>
  <c r="F1244" i="6"/>
  <c r="D1268" i="6"/>
  <c r="I1268" i="6" s="1"/>
  <c r="F1147" i="6"/>
  <c r="F1138" i="6"/>
  <c r="D1162" i="6"/>
  <c r="I1162" i="6" s="1"/>
  <c r="F1032" i="6"/>
  <c r="F925" i="6"/>
  <c r="F829" i="6"/>
  <c r="F820" i="6"/>
  <c r="D844" i="6"/>
  <c r="I844" i="6" s="1"/>
  <c r="D738" i="6"/>
  <c r="I738" i="6" s="1"/>
  <c r="D639" i="6"/>
  <c r="F624" i="6"/>
  <c r="E621" i="6"/>
  <c r="G621" i="6" s="1"/>
  <c r="L621" i="6" s="1"/>
  <c r="F613" i="6"/>
  <c r="J621" i="6"/>
  <c r="H738" i="6"/>
  <c r="M738" i="6" s="1"/>
  <c r="M739" i="6" s="1"/>
  <c r="H844" i="6"/>
  <c r="M844" i="6" s="1"/>
  <c r="M845" i="6" s="1"/>
  <c r="H1056" i="6"/>
  <c r="I825" i="6"/>
  <c r="H949" i="6"/>
  <c r="G613" i="6"/>
  <c r="F615" i="6"/>
  <c r="I621" i="6"/>
  <c r="F622" i="6"/>
  <c r="F626" i="6"/>
  <c r="E638" i="6"/>
  <c r="I638" i="6"/>
  <c r="F712" i="6"/>
  <c r="G714" i="6"/>
  <c r="F716" i="6"/>
  <c r="G718" i="6"/>
  <c r="E720" i="6"/>
  <c r="G720" i="6" s="1"/>
  <c r="L720" i="6" s="1"/>
  <c r="F721" i="6"/>
  <c r="G723" i="6"/>
  <c r="F725" i="6"/>
  <c r="G727" i="6"/>
  <c r="F729" i="6"/>
  <c r="G731" i="6"/>
  <c r="F733" i="6"/>
  <c r="G735" i="6"/>
  <c r="E737" i="6"/>
  <c r="I737" i="6"/>
  <c r="K737" i="6"/>
  <c r="F818" i="6"/>
  <c r="F822" i="6"/>
  <c r="E826" i="6"/>
  <c r="G826" i="6" s="1"/>
  <c r="M826" i="6"/>
  <c r="M825" i="6" s="1"/>
  <c r="F827" i="6"/>
  <c r="F831" i="6"/>
  <c r="F835" i="6"/>
  <c r="F839" i="6"/>
  <c r="E843" i="6"/>
  <c r="I843" i="6"/>
  <c r="K843" i="6"/>
  <c r="F923" i="6"/>
  <c r="F927" i="6"/>
  <c r="E931" i="6"/>
  <c r="G931" i="6" s="1"/>
  <c r="F932" i="6"/>
  <c r="F936" i="6"/>
  <c r="F940" i="6"/>
  <c r="F944" i="6"/>
  <c r="E948" i="6"/>
  <c r="K948" i="6" s="1"/>
  <c r="I948" i="6"/>
  <c r="D949" i="6"/>
  <c r="F1030" i="6"/>
  <c r="F1034" i="6"/>
  <c r="E1038" i="6"/>
  <c r="G1038" i="6" s="1"/>
  <c r="I1038" i="6"/>
  <c r="F1039" i="6"/>
  <c r="F1043" i="6"/>
  <c r="F1047" i="6"/>
  <c r="F1051" i="6"/>
  <c r="E1055" i="6"/>
  <c r="K1055" i="6" s="1"/>
  <c r="I1055" i="6"/>
  <c r="D1056" i="6"/>
  <c r="F1136" i="6"/>
  <c r="F1140" i="6"/>
  <c r="E1144" i="6"/>
  <c r="I1144" i="6"/>
  <c r="M1144" i="6" s="1"/>
  <c r="M1143" i="6" s="1"/>
  <c r="F1145" i="6"/>
  <c r="F1149" i="6"/>
  <c r="F1153" i="6"/>
  <c r="F1157" i="6"/>
  <c r="E1161" i="6"/>
  <c r="K1161" i="6" s="1"/>
  <c r="I1161" i="6"/>
  <c r="F1242" i="6"/>
  <c r="F1246" i="6"/>
  <c r="E1250" i="6"/>
  <c r="F1251" i="6"/>
  <c r="F1255" i="6"/>
  <c r="F1259" i="6"/>
  <c r="F1263" i="6"/>
  <c r="E1267" i="6"/>
  <c r="K1267" i="6" s="1"/>
  <c r="I1267" i="6"/>
  <c r="J1373" i="6"/>
  <c r="H1480" i="6"/>
  <c r="F1479" i="6"/>
  <c r="I1778" i="6"/>
  <c r="H621" i="6"/>
  <c r="H720" i="6"/>
  <c r="M720" i="6" s="1"/>
  <c r="M719" i="6" s="1"/>
  <c r="H1268" i="6"/>
  <c r="H1586" i="6"/>
  <c r="G1348" i="6"/>
  <c r="F1350" i="6"/>
  <c r="G1352" i="6"/>
  <c r="F1354" i="6"/>
  <c r="H1356" i="6"/>
  <c r="G1357" i="6"/>
  <c r="F1359" i="6"/>
  <c r="G1361" i="6"/>
  <c r="F1363" i="6"/>
  <c r="G1365" i="6"/>
  <c r="G1369" i="6"/>
  <c r="C1374" i="6"/>
  <c r="G1454" i="6"/>
  <c r="F1456" i="6"/>
  <c r="F1460" i="6"/>
  <c r="H1462" i="6"/>
  <c r="G1463" i="6"/>
  <c r="F1465" i="6"/>
  <c r="F1469" i="6"/>
  <c r="F1473" i="6"/>
  <c r="G1475" i="6"/>
  <c r="F1477" i="6"/>
  <c r="I1479" i="6"/>
  <c r="K1479" i="6"/>
  <c r="D1480" i="6"/>
  <c r="F1560" i="6"/>
  <c r="G1562" i="6"/>
  <c r="F1564" i="6"/>
  <c r="G1566" i="6"/>
  <c r="E1568" i="6"/>
  <c r="G1568" i="6" s="1"/>
  <c r="F1569" i="6"/>
  <c r="G1571" i="6"/>
  <c r="F1573" i="6"/>
  <c r="G1575" i="6"/>
  <c r="F1577" i="6"/>
  <c r="F1581" i="6"/>
  <c r="E1585" i="6"/>
  <c r="F1585" i="6" s="1"/>
  <c r="I1585" i="6"/>
  <c r="D1586" i="6"/>
  <c r="F1665" i="6"/>
  <c r="G1667" i="6"/>
  <c r="F1669" i="6"/>
  <c r="G1671" i="6"/>
  <c r="E1673" i="6"/>
  <c r="G1673" i="6" s="1"/>
  <c r="F1674" i="6"/>
  <c r="F1678" i="6"/>
  <c r="F1682" i="6"/>
  <c r="F1686" i="6"/>
  <c r="E1690" i="6"/>
  <c r="I1690" i="6"/>
  <c r="K1690" i="6"/>
  <c r="D1691" i="6"/>
  <c r="F1771" i="6"/>
  <c r="F1775" i="6"/>
  <c r="E1779" i="6"/>
  <c r="G1779" i="6" s="1"/>
  <c r="F1780" i="6"/>
  <c r="F1784" i="6"/>
  <c r="F1788" i="6"/>
  <c r="F1792" i="6"/>
  <c r="E1796" i="6"/>
  <c r="K1796" i="6" s="1"/>
  <c r="I1796" i="6"/>
  <c r="D1797" i="6"/>
  <c r="F1876" i="6"/>
  <c r="F1880" i="6"/>
  <c r="K2111" i="6"/>
  <c r="K2110" i="6"/>
  <c r="K2216" i="6"/>
  <c r="G2321" i="6"/>
  <c r="F1357" i="6"/>
  <c r="I1373" i="6"/>
  <c r="H1568" i="6"/>
  <c r="I1567" i="6" s="1"/>
  <c r="H1673" i="6"/>
  <c r="E1902" i="6"/>
  <c r="J1902" i="6" s="1"/>
  <c r="G1876" i="6"/>
  <c r="I1902" i="6"/>
  <c r="I2006" i="6"/>
  <c r="J2094" i="6"/>
  <c r="J2199" i="6"/>
  <c r="G2304" i="6"/>
  <c r="H1884" i="6"/>
  <c r="I1883" i="6" s="1"/>
  <c r="G1885" i="6"/>
  <c r="F1887" i="6"/>
  <c r="F1891" i="6"/>
  <c r="G1893" i="6"/>
  <c r="F1895" i="6"/>
  <c r="G1897" i="6"/>
  <c r="F1899" i="6"/>
  <c r="C1902" i="6"/>
  <c r="G1980" i="6"/>
  <c r="F1982" i="6"/>
  <c r="F1986" i="6"/>
  <c r="H1988" i="6"/>
  <c r="I1987" i="6" s="1"/>
  <c r="G1989" i="6"/>
  <c r="F1991" i="6"/>
  <c r="F1995" i="6"/>
  <c r="F1999" i="6"/>
  <c r="F2003" i="6"/>
  <c r="C2006" i="6"/>
  <c r="F2088" i="6"/>
  <c r="F2092" i="6"/>
  <c r="H2094" i="6"/>
  <c r="G2095" i="6"/>
  <c r="F2097" i="6"/>
  <c r="F2101" i="6"/>
  <c r="F2105" i="6"/>
  <c r="F2109" i="6"/>
  <c r="C2112" i="6"/>
  <c r="F2193" i="6"/>
  <c r="F2197" i="6"/>
  <c r="H2199" i="6"/>
  <c r="F2202" i="6"/>
  <c r="F2206" i="6"/>
  <c r="F2210" i="6"/>
  <c r="F2214" i="6"/>
  <c r="C2217" i="6"/>
  <c r="F2298" i="6"/>
  <c r="F2302" i="6"/>
  <c r="H2304" i="6"/>
  <c r="F2307" i="6"/>
  <c r="F2311" i="6"/>
  <c r="F2315" i="6"/>
  <c r="F2319" i="6"/>
  <c r="C2322" i="6"/>
  <c r="H2427" i="6"/>
  <c r="J2515" i="6"/>
  <c r="K2515" i="6" s="1"/>
  <c r="G2515" i="6"/>
  <c r="K2531" i="6"/>
  <c r="J2621" i="6"/>
  <c r="K2621" i="6" s="1"/>
  <c r="I1901" i="6"/>
  <c r="G2088" i="6"/>
  <c r="G2193" i="6"/>
  <c r="G2202" i="6"/>
  <c r="G2298" i="6"/>
  <c r="G2307" i="6"/>
  <c r="F2401" i="6"/>
  <c r="G2403" i="6"/>
  <c r="F2405" i="6"/>
  <c r="G2407" i="6"/>
  <c r="E2409" i="6"/>
  <c r="G2409" i="6" s="1"/>
  <c r="F2410" i="6"/>
  <c r="G2412" i="6"/>
  <c r="F2414" i="6"/>
  <c r="G2416" i="6"/>
  <c r="F2418" i="6"/>
  <c r="G2420" i="6"/>
  <c r="F2422" i="6"/>
  <c r="G2424" i="6"/>
  <c r="E2426" i="6"/>
  <c r="G2426" i="6" s="1"/>
  <c r="I2426" i="6"/>
  <c r="G2509" i="6"/>
  <c r="F2511" i="6"/>
  <c r="F2515" i="6" s="1"/>
  <c r="H2515" i="6"/>
  <c r="G2516" i="6"/>
  <c r="G2520" i="6"/>
  <c r="F2522" i="6"/>
  <c r="G2524" i="6"/>
  <c r="G2528" i="6"/>
  <c r="F2530" i="6"/>
  <c r="C2533" i="6"/>
  <c r="G2613" i="6"/>
  <c r="F2615" i="6"/>
  <c r="H2639" i="6"/>
  <c r="G2621" i="6"/>
  <c r="F2622" i="6"/>
  <c r="F2626" i="6"/>
  <c r="F2630" i="6"/>
  <c r="F2634" i="6"/>
  <c r="I2832" i="6"/>
  <c r="G2850" i="6"/>
  <c r="H2409" i="6"/>
  <c r="I2408" i="6" s="1"/>
  <c r="G2507" i="6"/>
  <c r="F2516" i="6"/>
  <c r="I2532" i="6"/>
  <c r="G2622" i="6"/>
  <c r="D2639" i="6"/>
  <c r="I2639" i="6" s="1"/>
  <c r="H2745" i="6"/>
  <c r="I2746" i="6" s="1"/>
  <c r="M2833" i="6"/>
  <c r="M2832" i="6" s="1"/>
  <c r="J2850" i="6"/>
  <c r="I2638" i="6"/>
  <c r="F2719" i="6"/>
  <c r="G2721" i="6"/>
  <c r="F2725" i="6"/>
  <c r="H2727" i="6"/>
  <c r="I2726" i="6" s="1"/>
  <c r="G2728" i="6"/>
  <c r="F2730" i="6"/>
  <c r="G2732" i="6"/>
  <c r="F2736" i="6"/>
  <c r="G2738" i="6"/>
  <c r="F2740" i="6"/>
  <c r="G2742" i="6"/>
  <c r="E2744" i="6"/>
  <c r="K2744" i="6" s="1"/>
  <c r="I2744" i="6"/>
  <c r="G2827" i="6"/>
  <c r="F2829" i="6"/>
  <c r="G2831" i="6"/>
  <c r="E2833" i="6"/>
  <c r="G2833" i="6" s="1"/>
  <c r="F2834" i="6"/>
  <c r="F2838" i="6"/>
  <c r="F2844" i="6"/>
  <c r="G2846" i="6"/>
  <c r="F2848" i="6"/>
  <c r="C2851" i="6"/>
  <c r="G2719" i="6"/>
  <c r="G2834" i="6"/>
  <c r="I2850" i="6"/>
  <c r="K2850" i="6"/>
  <c r="K2638" i="6" l="1"/>
  <c r="K2637" i="6"/>
  <c r="K1585" i="6"/>
  <c r="G2638" i="6"/>
  <c r="L2637" i="6" s="1"/>
  <c r="E2006" i="6"/>
  <c r="J2006" i="6" s="1"/>
  <c r="K2532" i="6"/>
  <c r="I2620" i="6"/>
  <c r="E2639" i="6"/>
  <c r="J2639" i="6" s="1"/>
  <c r="K2639" i="6" s="1"/>
  <c r="E2533" i="6"/>
  <c r="J2533" i="6" s="1"/>
  <c r="K2533" i="6" s="1"/>
  <c r="I2093" i="6"/>
  <c r="F1901" i="6"/>
  <c r="K2199" i="6"/>
  <c r="K2198" i="6" s="1"/>
  <c r="G1988" i="6"/>
  <c r="K1900" i="6"/>
  <c r="E1480" i="6"/>
  <c r="J1480" i="6" s="1"/>
  <c r="J1481" i="6" s="1"/>
  <c r="G1356" i="6"/>
  <c r="M1250" i="6"/>
  <c r="M1249" i="6" s="1"/>
  <c r="I2428" i="6"/>
  <c r="K2304" i="6"/>
  <c r="K2303" i="6" s="1"/>
  <c r="G2727" i="6"/>
  <c r="F2833" i="6"/>
  <c r="K1901" i="6"/>
  <c r="K2620" i="6"/>
  <c r="J2620" i="6"/>
  <c r="G2532" i="6"/>
  <c r="L2532" i="6" s="1"/>
  <c r="I2303" i="6"/>
  <c r="I2198" i="6"/>
  <c r="K2094" i="6"/>
  <c r="K2093" i="6" s="1"/>
  <c r="G1462" i="6"/>
  <c r="G1901" i="6"/>
  <c r="L1901" i="6" s="1"/>
  <c r="H1901" i="6" s="1"/>
  <c r="M621" i="6"/>
  <c r="M620" i="6" s="1"/>
  <c r="L2621" i="6"/>
  <c r="L2620" i="6" s="1"/>
  <c r="C2933" i="6"/>
  <c r="F2621" i="6"/>
  <c r="E2322" i="6"/>
  <c r="J2322" i="6" s="1"/>
  <c r="K2322" i="6" s="1"/>
  <c r="G2199" i="6"/>
  <c r="G2094" i="6"/>
  <c r="J2321" i="6"/>
  <c r="G2111" i="6"/>
  <c r="L2111" i="6" s="1"/>
  <c r="H2111" i="6" s="1"/>
  <c r="G2005" i="6"/>
  <c r="L2004" i="6" s="1"/>
  <c r="H1479" i="6"/>
  <c r="M1479" i="6" s="1"/>
  <c r="M1038" i="6"/>
  <c r="M1037" i="6" s="1"/>
  <c r="M931" i="6"/>
  <c r="M930" i="6" s="1"/>
  <c r="F1250" i="6"/>
  <c r="F2744" i="6"/>
  <c r="F2199" i="6"/>
  <c r="F2094" i="6"/>
  <c r="F2304" i="6"/>
  <c r="F1988" i="6"/>
  <c r="J2198" i="6"/>
  <c r="F1779" i="6"/>
  <c r="F1462" i="6"/>
  <c r="F1356" i="6"/>
  <c r="F826" i="6"/>
  <c r="I739" i="6"/>
  <c r="K2426" i="6"/>
  <c r="K2320" i="6"/>
  <c r="F2321" i="6"/>
  <c r="G2216" i="6"/>
  <c r="L2215" i="6" s="1"/>
  <c r="K2215" i="6"/>
  <c r="F2111" i="6"/>
  <c r="F2005" i="6"/>
  <c r="J2005" i="6"/>
  <c r="K2004" i="6"/>
  <c r="J1884" i="6"/>
  <c r="K1884" i="6" s="1"/>
  <c r="L1884" i="6" s="1"/>
  <c r="L1883" i="6" s="1"/>
  <c r="K1373" i="6"/>
  <c r="D2933" i="6"/>
  <c r="G2639" i="6"/>
  <c r="F2216" i="6"/>
  <c r="G1373" i="6"/>
  <c r="L1372" i="6" s="1"/>
  <c r="F1373" i="6"/>
  <c r="E1374" i="6"/>
  <c r="J1374" i="6" s="1"/>
  <c r="K1374" i="6" s="1"/>
  <c r="F931" i="6"/>
  <c r="K621" i="6"/>
  <c r="K620" i="6" s="1"/>
  <c r="F621" i="6"/>
  <c r="J2726" i="6"/>
  <c r="K2514" i="6"/>
  <c r="K1355" i="6"/>
  <c r="H2851" i="6"/>
  <c r="F2727" i="6"/>
  <c r="F2850" i="6"/>
  <c r="J2833" i="6"/>
  <c r="E2851" i="6"/>
  <c r="J2744" i="6"/>
  <c r="K2743" i="6"/>
  <c r="M2727" i="6"/>
  <c r="M2726" i="6" s="1"/>
  <c r="I2852" i="6"/>
  <c r="M2745" i="6"/>
  <c r="M2746" i="6" s="1"/>
  <c r="I2640" i="6"/>
  <c r="F2532" i="6"/>
  <c r="F2533" i="6" s="1"/>
  <c r="M2409" i="6"/>
  <c r="M2408" i="6" s="1"/>
  <c r="G2744" i="6"/>
  <c r="K2727" i="6"/>
  <c r="K2726" i="6" s="1"/>
  <c r="E2745" i="6"/>
  <c r="M2639" i="6"/>
  <c r="M2640" i="6" s="1"/>
  <c r="H2533" i="6"/>
  <c r="J2534" i="6" s="1"/>
  <c r="G2533" i="6"/>
  <c r="J2426" i="6"/>
  <c r="K2425" i="6"/>
  <c r="F2426" i="6"/>
  <c r="E2427" i="6"/>
  <c r="J2409" i="6"/>
  <c r="F2409" i="6"/>
  <c r="J2640" i="6"/>
  <c r="M2427" i="6"/>
  <c r="M2428" i="6" s="1"/>
  <c r="H2322" i="6"/>
  <c r="M2199" i="6"/>
  <c r="M2198" i="6" s="1"/>
  <c r="L2199" i="6"/>
  <c r="L2198" i="6" s="1"/>
  <c r="H2112" i="6"/>
  <c r="J2113" i="6" s="1"/>
  <c r="G2112" i="6"/>
  <c r="M2094" i="6"/>
  <c r="M2093" i="6" s="1"/>
  <c r="L2094" i="6"/>
  <c r="L2093" i="6" s="1"/>
  <c r="H2006" i="6"/>
  <c r="I2007" i="6" s="1"/>
  <c r="G2006" i="6"/>
  <c r="M1884" i="6"/>
  <c r="M1883" i="6" s="1"/>
  <c r="J2303" i="6"/>
  <c r="J2093" i="6"/>
  <c r="K2006" i="6"/>
  <c r="F1902" i="6"/>
  <c r="M1673" i="6"/>
  <c r="M1672" i="6" s="1"/>
  <c r="F1884" i="6"/>
  <c r="J1796" i="6"/>
  <c r="K1795" i="6"/>
  <c r="I1691" i="6"/>
  <c r="I1586" i="6"/>
  <c r="M1586" i="6" s="1"/>
  <c r="M1587" i="6" s="1"/>
  <c r="I1480" i="6"/>
  <c r="F1480" i="6"/>
  <c r="M1356" i="6"/>
  <c r="M1355" i="6" s="1"/>
  <c r="L1356" i="6"/>
  <c r="L1355" i="6" s="1"/>
  <c r="M1691" i="6"/>
  <c r="M1692" i="6" s="1"/>
  <c r="G1585" i="6"/>
  <c r="K1461" i="6"/>
  <c r="I1355" i="6"/>
  <c r="J1355" i="6"/>
  <c r="G1796" i="6"/>
  <c r="M1480" i="6"/>
  <c r="M1481" i="6" s="1"/>
  <c r="J1461" i="6"/>
  <c r="M1162" i="6"/>
  <c r="M1163" i="6" s="1"/>
  <c r="E1162" i="6"/>
  <c r="J1144" i="6"/>
  <c r="J1143" i="6" s="1"/>
  <c r="J1055" i="6"/>
  <c r="K1054" i="6"/>
  <c r="I1037" i="6"/>
  <c r="E1056" i="6"/>
  <c r="J1056" i="6" s="1"/>
  <c r="J1057" i="6" s="1"/>
  <c r="J1038" i="6"/>
  <c r="J1037" i="6" s="1"/>
  <c r="J948" i="6"/>
  <c r="K947" i="6"/>
  <c r="J843" i="6"/>
  <c r="K842" i="6"/>
  <c r="F843" i="6"/>
  <c r="J737" i="6"/>
  <c r="K736" i="6"/>
  <c r="F737" i="6"/>
  <c r="E738" i="6"/>
  <c r="J720" i="6"/>
  <c r="F720" i="6"/>
  <c r="J638" i="6"/>
  <c r="K637" i="6"/>
  <c r="F638" i="6"/>
  <c r="I620" i="6"/>
  <c r="I1163" i="6"/>
  <c r="G1055" i="6"/>
  <c r="F948" i="6"/>
  <c r="G843" i="6"/>
  <c r="I719" i="6"/>
  <c r="F1144" i="6"/>
  <c r="I845" i="6"/>
  <c r="G638" i="6"/>
  <c r="J620" i="6"/>
  <c r="L2849" i="6"/>
  <c r="L2850" i="6"/>
  <c r="H2850" i="6" s="1"/>
  <c r="F2638" i="6"/>
  <c r="M2515" i="6"/>
  <c r="M2514" i="6" s="1"/>
  <c r="L2515" i="6"/>
  <c r="L2514" i="6" s="1"/>
  <c r="I2514" i="6"/>
  <c r="L2531" i="6"/>
  <c r="J2514" i="6"/>
  <c r="L2426" i="6"/>
  <c r="L2425" i="6"/>
  <c r="M2304" i="6"/>
  <c r="M2303" i="6" s="1"/>
  <c r="L2304" i="6"/>
  <c r="L2303" i="6" s="1"/>
  <c r="H2217" i="6"/>
  <c r="K2218" i="6" s="1"/>
  <c r="G2217" i="6"/>
  <c r="M1988" i="6"/>
  <c r="M1987" i="6" s="1"/>
  <c r="L1988" i="6"/>
  <c r="L1987" i="6" s="1"/>
  <c r="H1902" i="6"/>
  <c r="G1902" i="6"/>
  <c r="J2323" i="6"/>
  <c r="K1987" i="6"/>
  <c r="I1903" i="6"/>
  <c r="K1902" i="6"/>
  <c r="J1903" i="6"/>
  <c r="M1568" i="6"/>
  <c r="M1567" i="6" s="1"/>
  <c r="L2320" i="6"/>
  <c r="L2321" i="6"/>
  <c r="H2321" i="6" s="1"/>
  <c r="L2216" i="6"/>
  <c r="H2216" i="6" s="1"/>
  <c r="L2110" i="6"/>
  <c r="K2112" i="6"/>
  <c r="J1987" i="6"/>
  <c r="L1900" i="6"/>
  <c r="I1797" i="6"/>
  <c r="M1797" i="6" s="1"/>
  <c r="M1798" i="6" s="1"/>
  <c r="E1797" i="6"/>
  <c r="J1797" i="6" s="1"/>
  <c r="J1798" i="6" s="1"/>
  <c r="J1779" i="6"/>
  <c r="J1690" i="6"/>
  <c r="K1689" i="6"/>
  <c r="E1691" i="6"/>
  <c r="J1691" i="6" s="1"/>
  <c r="J1692" i="6" s="1"/>
  <c r="J1673" i="6"/>
  <c r="F1673" i="6"/>
  <c r="J1585" i="6"/>
  <c r="K1584" i="6"/>
  <c r="E1586" i="6"/>
  <c r="J1586" i="6" s="1"/>
  <c r="J1587" i="6" s="1"/>
  <c r="J1568" i="6"/>
  <c r="F1568" i="6"/>
  <c r="M1462" i="6"/>
  <c r="M1461" i="6" s="1"/>
  <c r="L1462" i="6"/>
  <c r="L1461" i="6" s="1"/>
  <c r="H1374" i="6"/>
  <c r="F1796" i="6"/>
  <c r="G1690" i="6"/>
  <c r="I1461" i="6"/>
  <c r="M1268" i="6"/>
  <c r="M1269" i="6" s="1"/>
  <c r="F1690" i="6"/>
  <c r="I1672" i="6"/>
  <c r="G1480" i="6"/>
  <c r="J1267" i="6"/>
  <c r="K1266" i="6"/>
  <c r="F1267" i="6"/>
  <c r="E1268" i="6"/>
  <c r="J1250" i="6"/>
  <c r="J1161" i="6"/>
  <c r="K1160" i="6"/>
  <c r="F1161" i="6"/>
  <c r="I1143" i="6"/>
  <c r="K1144" i="6"/>
  <c r="I1056" i="6"/>
  <c r="M1056" i="6" s="1"/>
  <c r="M1057" i="6" s="1"/>
  <c r="I949" i="6"/>
  <c r="E949" i="6"/>
  <c r="J949" i="6" s="1"/>
  <c r="J950" i="6" s="1"/>
  <c r="J931" i="6"/>
  <c r="E844" i="6"/>
  <c r="J826" i="6"/>
  <c r="L719" i="6"/>
  <c r="I639" i="6"/>
  <c r="I637" i="6"/>
  <c r="L620" i="6"/>
  <c r="I1269" i="6"/>
  <c r="G1250" i="6"/>
  <c r="G1144" i="6"/>
  <c r="F1038" i="6"/>
  <c r="G1267" i="6"/>
  <c r="G1161" i="6"/>
  <c r="F1055" i="6"/>
  <c r="G948" i="6"/>
  <c r="G737" i="6"/>
  <c r="K638" i="6"/>
  <c r="E639" i="6"/>
  <c r="G639" i="6" s="1"/>
  <c r="L2638" i="6" l="1"/>
  <c r="H2638" i="6" s="1"/>
  <c r="L2005" i="6"/>
  <c r="H2005" i="6" s="1"/>
  <c r="I2004" i="6" s="1"/>
  <c r="K2640" i="6"/>
  <c r="L2639" i="6"/>
  <c r="L2640" i="6" s="1"/>
  <c r="K1375" i="6"/>
  <c r="F2217" i="6"/>
  <c r="F1374" i="6"/>
  <c r="F2851" i="6"/>
  <c r="F2006" i="6"/>
  <c r="F1056" i="6"/>
  <c r="L1373" i="6"/>
  <c r="J2004" i="6"/>
  <c r="K2534" i="6"/>
  <c r="F2745" i="6"/>
  <c r="H2532" i="6"/>
  <c r="I2531" i="6" s="1"/>
  <c r="F1268" i="6"/>
  <c r="G1374" i="6"/>
  <c r="K2113" i="6"/>
  <c r="F2639" i="6"/>
  <c r="J1883" i="6"/>
  <c r="J2007" i="6"/>
  <c r="K2007" i="6"/>
  <c r="K2323" i="6"/>
  <c r="H2426" i="6"/>
  <c r="M2426" i="6" s="1"/>
  <c r="M2425" i="6" s="1"/>
  <c r="F844" i="6"/>
  <c r="G2322" i="6"/>
  <c r="F639" i="6"/>
  <c r="F2322" i="6"/>
  <c r="K1903" i="6"/>
  <c r="F2112" i="6"/>
  <c r="M1901" i="6"/>
  <c r="M1900" i="6" s="1"/>
  <c r="J1900" i="6"/>
  <c r="J1375" i="6"/>
  <c r="K1883" i="6"/>
  <c r="H1373" i="6"/>
  <c r="M1373" i="6" s="1"/>
  <c r="M1372" i="6" s="1"/>
  <c r="L2727" i="6"/>
  <c r="L2726" i="6" s="1"/>
  <c r="D2934" i="6"/>
  <c r="G1691" i="6"/>
  <c r="G949" i="6"/>
  <c r="M2850" i="6"/>
  <c r="M2849" i="6" s="1"/>
  <c r="J2849" i="6"/>
  <c r="I2849" i="6"/>
  <c r="M2216" i="6"/>
  <c r="M2215" i="6" s="1"/>
  <c r="I2215" i="6"/>
  <c r="J2215" i="6"/>
  <c r="M2321" i="6"/>
  <c r="M2320" i="6" s="1"/>
  <c r="I2320" i="6"/>
  <c r="J2320" i="6"/>
  <c r="M2532" i="6"/>
  <c r="M2531" i="6" s="1"/>
  <c r="M2638" i="6"/>
  <c r="M2637" i="6" s="1"/>
  <c r="I2637" i="6"/>
  <c r="J2637" i="6"/>
  <c r="M2111" i="6"/>
  <c r="M2110" i="6" s="1"/>
  <c r="I2110" i="6"/>
  <c r="J2110" i="6"/>
  <c r="L737" i="6"/>
  <c r="H737" i="6" s="1"/>
  <c r="J736" i="6" s="1"/>
  <c r="L736" i="6"/>
  <c r="J930" i="6"/>
  <c r="K931" i="6"/>
  <c r="K949" i="6"/>
  <c r="K950" i="6" s="1"/>
  <c r="I950" i="6"/>
  <c r="K639" i="6"/>
  <c r="L948" i="6"/>
  <c r="L947" i="6"/>
  <c r="L1161" i="6"/>
  <c r="H1161" i="6" s="1"/>
  <c r="J1160" i="6" s="1"/>
  <c r="L1160" i="6"/>
  <c r="J825" i="6"/>
  <c r="K826" i="6"/>
  <c r="F949" i="6"/>
  <c r="K1056" i="6"/>
  <c r="I1057" i="6"/>
  <c r="J1249" i="6"/>
  <c r="K1250" i="6"/>
  <c r="L1690" i="6"/>
  <c r="H1690" i="6" s="1"/>
  <c r="L1689" i="6"/>
  <c r="J1689" i="6"/>
  <c r="J1778" i="6"/>
  <c r="K1779" i="6"/>
  <c r="K1797" i="6"/>
  <c r="I1798" i="6"/>
  <c r="L1902" i="6"/>
  <c r="L1903" i="6" s="1"/>
  <c r="M1902" i="6"/>
  <c r="M1903" i="6" s="1"/>
  <c r="L2217" i="6"/>
  <c r="L2218" i="6" s="1"/>
  <c r="M2217" i="6"/>
  <c r="M2218" i="6" s="1"/>
  <c r="I2218" i="6"/>
  <c r="M949" i="6"/>
  <c r="M950" i="6" s="1"/>
  <c r="L1055" i="6"/>
  <c r="H1055" i="6" s="1"/>
  <c r="L1054" i="6"/>
  <c r="F738" i="6"/>
  <c r="J738" i="6"/>
  <c r="G738" i="6"/>
  <c r="L738" i="6" s="1"/>
  <c r="L739" i="6" s="1"/>
  <c r="K1038" i="6"/>
  <c r="J1162" i="6"/>
  <c r="G1162" i="6"/>
  <c r="L1585" i="6"/>
  <c r="H1585" i="6" s="1"/>
  <c r="L1584" i="6"/>
  <c r="K1480" i="6"/>
  <c r="I1481" i="6"/>
  <c r="F1586" i="6"/>
  <c r="K1691" i="6"/>
  <c r="I1692" i="6"/>
  <c r="J2218" i="6"/>
  <c r="L2006" i="6"/>
  <c r="L2007" i="6" s="1"/>
  <c r="M2006" i="6"/>
  <c r="M2007" i="6" s="1"/>
  <c r="L2112" i="6"/>
  <c r="L2113" i="6" s="1"/>
  <c r="M2112" i="6"/>
  <c r="M2113" i="6" s="1"/>
  <c r="I2113" i="6"/>
  <c r="L2322" i="6"/>
  <c r="L2323" i="6" s="1"/>
  <c r="M2322" i="6"/>
  <c r="M2323" i="6" s="1"/>
  <c r="I2323" i="6"/>
  <c r="F2427" i="6"/>
  <c r="J2427" i="6"/>
  <c r="G2427" i="6"/>
  <c r="L2533" i="6"/>
  <c r="L2534" i="6" s="1"/>
  <c r="M2533" i="6"/>
  <c r="M2534" i="6" s="1"/>
  <c r="I2534" i="6"/>
  <c r="J2851" i="6"/>
  <c r="E2933" i="6"/>
  <c r="G2851" i="6"/>
  <c r="M2851" i="6"/>
  <c r="M2852" i="6" s="1"/>
  <c r="G1797" i="6"/>
  <c r="L1267" i="6"/>
  <c r="H1267" i="6" s="1"/>
  <c r="L1266" i="6"/>
  <c r="J844" i="6"/>
  <c r="G844" i="6"/>
  <c r="L844" i="6" s="1"/>
  <c r="L845" i="6" s="1"/>
  <c r="K1143" i="6"/>
  <c r="L1144" i="6"/>
  <c r="L1143" i="6" s="1"/>
  <c r="J1268" i="6"/>
  <c r="G1268" i="6"/>
  <c r="L1374" i="6"/>
  <c r="L1375" i="6" s="1"/>
  <c r="M1374" i="6"/>
  <c r="M1375" i="6" s="1"/>
  <c r="I1375" i="6"/>
  <c r="J1567" i="6"/>
  <c r="K1568" i="6"/>
  <c r="J1672" i="6"/>
  <c r="K1673" i="6"/>
  <c r="F1797" i="6"/>
  <c r="M2005" i="6"/>
  <c r="M2004" i="6" s="1"/>
  <c r="L638" i="6"/>
  <c r="L639" i="6" s="1"/>
  <c r="L637" i="6"/>
  <c r="F1162" i="6"/>
  <c r="L843" i="6"/>
  <c r="H843" i="6" s="1"/>
  <c r="J842" i="6" s="1"/>
  <c r="L842" i="6"/>
  <c r="J639" i="6"/>
  <c r="J637" i="6"/>
  <c r="J719" i="6"/>
  <c r="K720" i="6"/>
  <c r="K719" i="6" s="1"/>
  <c r="J1054" i="6"/>
  <c r="J1372" i="6"/>
  <c r="L1796" i="6"/>
  <c r="H1796" i="6" s="1"/>
  <c r="L1795" i="6"/>
  <c r="G1586" i="6"/>
  <c r="K1586" i="6"/>
  <c r="I1587" i="6"/>
  <c r="F1691" i="6"/>
  <c r="I1900" i="6"/>
  <c r="J2408" i="6"/>
  <c r="K2409" i="6"/>
  <c r="J2745" i="6"/>
  <c r="G2745" i="6"/>
  <c r="L2744" i="6"/>
  <c r="H2744" i="6" s="1"/>
  <c r="J2743" i="6" s="1"/>
  <c r="L2743" i="6"/>
  <c r="J2832" i="6"/>
  <c r="K2833" i="6"/>
  <c r="G1056" i="6"/>
  <c r="J2531" i="6" l="1"/>
  <c r="J2425" i="6"/>
  <c r="I2425" i="6"/>
  <c r="I1372" i="6"/>
  <c r="K2832" i="6"/>
  <c r="L2833" i="6"/>
  <c r="L2832" i="6" s="1"/>
  <c r="K1587" i="6"/>
  <c r="L1586" i="6"/>
  <c r="L1587" i="6" s="1"/>
  <c r="K1672" i="6"/>
  <c r="L1673" i="6"/>
  <c r="L1672" i="6" s="1"/>
  <c r="K1567" i="6"/>
  <c r="L1568" i="6"/>
  <c r="L1567" i="6" s="1"/>
  <c r="J1269" i="6"/>
  <c r="K1268" i="6"/>
  <c r="E2934" i="6"/>
  <c r="F2933" i="6"/>
  <c r="F2934" i="6" s="1"/>
  <c r="K1481" i="6"/>
  <c r="L1480" i="6"/>
  <c r="L1481" i="6" s="1"/>
  <c r="M1585" i="6"/>
  <c r="M1584" i="6" s="1"/>
  <c r="I1584" i="6"/>
  <c r="J1163" i="6"/>
  <c r="K1162" i="6"/>
  <c r="J739" i="6"/>
  <c r="K738" i="6"/>
  <c r="K739" i="6" s="1"/>
  <c r="K1798" i="6"/>
  <c r="L1797" i="6"/>
  <c r="L1798" i="6" s="1"/>
  <c r="J1584" i="6"/>
  <c r="M1690" i="6"/>
  <c r="M1689" i="6" s="1"/>
  <c r="I1689" i="6"/>
  <c r="K1249" i="6"/>
  <c r="L1250" i="6"/>
  <c r="L1249" i="6" s="1"/>
  <c r="H638" i="6"/>
  <c r="K930" i="6"/>
  <c r="L931" i="6"/>
  <c r="L930" i="6" s="1"/>
  <c r="M2744" i="6"/>
  <c r="M2743" i="6" s="1"/>
  <c r="I2743" i="6"/>
  <c r="J2746" i="6"/>
  <c r="K2745" i="6"/>
  <c r="K2408" i="6"/>
  <c r="L2409" i="6"/>
  <c r="L2408" i="6" s="1"/>
  <c r="M1796" i="6"/>
  <c r="M1795" i="6" s="1"/>
  <c r="I1795" i="6"/>
  <c r="M843" i="6"/>
  <c r="M842" i="6" s="1"/>
  <c r="I842" i="6"/>
  <c r="J845" i="6"/>
  <c r="K844" i="6"/>
  <c r="K845" i="6" s="1"/>
  <c r="M1267" i="6"/>
  <c r="M1266" i="6" s="1"/>
  <c r="I1266" i="6"/>
  <c r="G2933" i="6"/>
  <c r="J2852" i="6"/>
  <c r="K2851" i="6"/>
  <c r="J2428" i="6"/>
  <c r="K2427" i="6"/>
  <c r="J1795" i="6"/>
  <c r="K1692" i="6"/>
  <c r="L1691" i="6"/>
  <c r="L1692" i="6" s="1"/>
  <c r="K1037" i="6"/>
  <c r="L1038" i="6"/>
  <c r="L1037" i="6" s="1"/>
  <c r="M1055" i="6"/>
  <c r="M1054" i="6" s="1"/>
  <c r="I1054" i="6"/>
  <c r="K1778" i="6"/>
  <c r="L1779" i="6"/>
  <c r="L1778" i="6" s="1"/>
  <c r="J1266" i="6"/>
  <c r="K1057" i="6"/>
  <c r="L1056" i="6"/>
  <c r="L1057" i="6" s="1"/>
  <c r="K825" i="6"/>
  <c r="L826" i="6"/>
  <c r="L825" i="6" s="1"/>
  <c r="M1161" i="6"/>
  <c r="M1160" i="6" s="1"/>
  <c r="I1160" i="6"/>
  <c r="L949" i="6"/>
  <c r="L950" i="6" s="1"/>
  <c r="H948" i="6"/>
  <c r="M737" i="6"/>
  <c r="M736" i="6" s="1"/>
  <c r="I736" i="6"/>
  <c r="M948" i="6" l="1"/>
  <c r="M947" i="6" s="1"/>
  <c r="I947" i="6"/>
  <c r="J947" i="6"/>
  <c r="K2428" i="6"/>
  <c r="L2427" i="6"/>
  <c r="L2428" i="6" s="1"/>
  <c r="K2852" i="6"/>
  <c r="L2851" i="6"/>
  <c r="L2852" i="6" s="1"/>
  <c r="G2934" i="6"/>
  <c r="H2933" i="6"/>
  <c r="K2746" i="6"/>
  <c r="L2745" i="6"/>
  <c r="L2746" i="6" s="1"/>
  <c r="H639" i="6"/>
  <c r="M638" i="6"/>
  <c r="M637" i="6" s="1"/>
  <c r="K1163" i="6"/>
  <c r="L1162" i="6"/>
  <c r="L1163" i="6" s="1"/>
  <c r="H2934" i="6"/>
  <c r="K1269" i="6"/>
  <c r="L1268" i="6"/>
  <c r="L1269" i="6" s="1"/>
  <c r="M639" i="6" l="1"/>
  <c r="M640" i="6" s="1"/>
  <c r="I640" i="6"/>
  <c r="L640" i="6"/>
  <c r="J640" i="6"/>
  <c r="K640" i="6"/>
</calcChain>
</file>

<file path=xl/comments1.xml><?xml version="1.0" encoding="utf-8"?>
<comments xmlns="http://schemas.openxmlformats.org/spreadsheetml/2006/main">
  <authors>
    <author>Navarro Julio</author>
  </authors>
  <commentList>
    <comment ref="M2407" authorId="0">
      <text>
        <r>
          <rPr>
            <b/>
            <sz val="9"/>
            <color indexed="81"/>
            <rFont val="Tahoma"/>
            <family val="2"/>
          </rPr>
          <t>Navarro Julio: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<sst xmlns="http://schemas.openxmlformats.org/spreadsheetml/2006/main" count="1386" uniqueCount="127">
  <si>
    <t>GOBIENO AUTONOMO DESCENTRALIZADO DE RIOBAMBA</t>
  </si>
  <si>
    <t>DEPARTAMENTO DE PRESUPUESTO</t>
  </si>
  <si>
    <t>FUNCION 1 SERVICIOS GENERALES</t>
  </si>
  <si>
    <t>PROGRAMA 1 GESTION ADMINISTRATIVA</t>
  </si>
  <si>
    <t>DENOMINACIÓN</t>
  </si>
  <si>
    <t>VALOR PRESUPUESTADO</t>
  </si>
  <si>
    <t>VALOR GASTADO</t>
  </si>
  <si>
    <t>VALOR COMPROMETIDO</t>
  </si>
  <si>
    <t>SALDO</t>
  </si>
  <si>
    <t xml:space="preserve">GASTOS DE PERSONAL                       51-52 </t>
  </si>
  <si>
    <t>BIENES SERVICIOS DE CONSUMO          53</t>
  </si>
  <si>
    <t>OTROS GASTOS  Y FINANCIEROS   56-57</t>
  </si>
  <si>
    <t>TRANSFERENCIAS  CORRIENTES          58</t>
  </si>
  <si>
    <t>SUBTOTAL  GASTO CORRIENTE</t>
  </si>
  <si>
    <t>GASTO DE PERSONAL                                 71-72</t>
  </si>
  <si>
    <t>BIENES SERVICIOS DE CONSUMO                   73</t>
  </si>
  <si>
    <t>OBRAS PUBLICAS                                             75</t>
  </si>
  <si>
    <t>ACTIVOS DE LARGA DURACION.                  84</t>
  </si>
  <si>
    <t>PROVISIONES                                             77-78</t>
  </si>
  <si>
    <t>AMORTIZACION DE DEUDA PUBLICA          96</t>
  </si>
  <si>
    <t>INVERSIONES  FINANCIERAS                        87</t>
  </si>
  <si>
    <t>APLICACION DEL  FINANCIAMIENTO           97</t>
  </si>
  <si>
    <t>SUBTOTAL  GASTO  DE INVERSION</t>
  </si>
  <si>
    <t>TOTAL  DEL PROGRAMA</t>
  </si>
  <si>
    <t>PROGRAMA 2 GESTION FINANCIERA</t>
  </si>
  <si>
    <t xml:space="preserve">GASTOS DE PERSONAL                              51-52 </t>
  </si>
  <si>
    <t>BIENES Y SERVICIOS DE  CONTSUMO           53</t>
  </si>
  <si>
    <t>OTROS GASTOS  Y FINANCIEROS             56-57</t>
  </si>
  <si>
    <t>TRANSFERENCIAS  CORRIENTES                  58</t>
  </si>
  <si>
    <t>GASTO DE PERSONAL                                      71-72</t>
  </si>
  <si>
    <t>BIENES SERVICIOS DE CONSUMO                       73</t>
  </si>
  <si>
    <t>OBRAS PUBLICAS                                                75</t>
  </si>
  <si>
    <t>ACTIVOS DE LARGA DURACION                      84</t>
  </si>
  <si>
    <t>PROVISIONES                                               77-78</t>
  </si>
  <si>
    <t>AMORTIZACION DE LA DEUDA PUBLICA          96</t>
  </si>
  <si>
    <t>INVERSIONES  FINANCIERAS                             87</t>
  </si>
  <si>
    <t>APLICACION DEL  FINANCIAMIENTO              97</t>
  </si>
  <si>
    <t>FUNCION 3 SERVICIOS COMUNALES</t>
  </si>
  <si>
    <t>PROGRAMA 3 GESTION DE POLICIA, JUSTICIA Y VIGILANCIA</t>
  </si>
  <si>
    <t>PROGRAMA 4 PROCURADURIA</t>
  </si>
  <si>
    <t>PROGRAMA 5 GESTIÓN DE AUDITORIA INTERNA</t>
  </si>
  <si>
    <t>PROGRAMA 6 GESTIÓN DE COMUNICACIÓN</t>
  </si>
  <si>
    <t>PROGRAMA 7 GESTIÓN DE TALENTO HUMANO</t>
  </si>
  <si>
    <t>PROGRAMA 8 GESTIÓN DE TECNOLOGIAS DE LA INFORMACIÓN</t>
  </si>
  <si>
    <t>PROGRAMA 9 BALCON DE SERVICIOS</t>
  </si>
  <si>
    <t>FUNCION 2 SERVICIOS SOCIALES</t>
  </si>
  <si>
    <t>PROGRAMA 1 GESTIÓN CULTURAL, DEPROTES Y RECREACIÓN</t>
  </si>
  <si>
    <t>PROGRAMA 2 GESTIÓN DE TURISMO</t>
  </si>
  <si>
    <t>PROGRAMA 4 GESTIÓN DE DESARROLLO SOCIAL Y HUMANO (Patronato)</t>
  </si>
  <si>
    <t>PROGRAMA 1 GESTIÓN DE ORDENAMIENTO TERRITORIAL</t>
  </si>
  <si>
    <t>PROGRAMA 2 GESTIÓN DE AMBIENTAL, SALUBRIDAD E HIGIENE</t>
  </si>
  <si>
    <t>PROGRAMA 3 GESTIÓN DE MOVILIDAD Y TRANSPORTE</t>
  </si>
  <si>
    <t>PROGRAMA 4 GESTIÓN DE SERVICIOS MUNICIPALES</t>
  </si>
  <si>
    <t>PROGRAMA 5 GESTIÓN DE PLANIFICACIÓN Y PROYECTOS</t>
  </si>
  <si>
    <t>PROGRAMA 6 GESTIÓN DE OBRAS PÚBLICAS</t>
  </si>
  <si>
    <t>PROGRAMA 7 REGISTRO DE LA PROPIEDAD</t>
  </si>
  <si>
    <t>FUNCION 5 SERVICIOS INCLASIFICADOS</t>
  </si>
  <si>
    <t>PROGRAMA 1 GASTOS COMUNES DE LA ENTIDAD</t>
  </si>
  <si>
    <t>PROGRAMA 9 GESTIÓN DE PATRIMONIO</t>
  </si>
  <si>
    <t>PROGRAMA 2 SERVICIO DE LA DEUDA</t>
  </si>
  <si>
    <t>% GASTADO</t>
  </si>
  <si>
    <t>% COMPROMISO</t>
  </si>
  <si>
    <t>% SALDO COMPROMETIDO</t>
  </si>
  <si>
    <t>% SALDO POR GASTAR</t>
  </si>
  <si>
    <t>TOTALES DE PRESUPUESTO DEL AÑO 2014</t>
  </si>
  <si>
    <t>TOTAL GASTADO Y COMPROMETIDO</t>
  </si>
  <si>
    <t>% TOTAL GASTADO Y COMPROMETIDO</t>
  </si>
  <si>
    <t>PRESUPUESTO 2014</t>
  </si>
  <si>
    <t>V/PRESUPUESTO</t>
  </si>
  <si>
    <t>V/RECAUDADO</t>
  </si>
  <si>
    <t>SUPERAVIT</t>
  </si>
  <si>
    <t>INGRESOS TOTALES</t>
  </si>
  <si>
    <t>% PRESUPUESTO</t>
  </si>
  <si>
    <t>% RECAUDADO</t>
  </si>
  <si>
    <t>% SALDO</t>
  </si>
  <si>
    <t>% SUPERAVIT</t>
  </si>
  <si>
    <t>INGRESOS</t>
  </si>
  <si>
    <t>INGRESOS  CORRIENTES</t>
  </si>
  <si>
    <t>DENOMINACION</t>
  </si>
  <si>
    <t>IMPUESTOS</t>
  </si>
  <si>
    <t>TASAS Y CONTRIBUCIONES</t>
  </si>
  <si>
    <t>VENTA DE BIENES Y SERVICIOS</t>
  </si>
  <si>
    <t>RENTAS DE INVERSIONES Y MULTAS</t>
  </si>
  <si>
    <t>TRANSFERENCIAS Y DONACIONES CORRIENTES</t>
  </si>
  <si>
    <t>INGRESOS DE CAPITAL</t>
  </si>
  <si>
    <t>VENTA DE ACTIVOS DE LARGA DURACIÓN</t>
  </si>
  <si>
    <t>TRANSFERENCIAS Y DONACIONES DE CAPITAL</t>
  </si>
  <si>
    <t>INGRESOS DE FINANCIAMIENTO</t>
  </si>
  <si>
    <t>FINANCIAMIENTO DEL SECTOR PUBLICO INTERNO</t>
  </si>
  <si>
    <t>SALDOS DISPONIBLES (CAJA BANCOS Y FON-GARAN)</t>
  </si>
  <si>
    <t>CUENTAS PENDIENTES POR COBRAR</t>
  </si>
  <si>
    <t>TOTAL DEL PRESUPUESTADO-2014     $</t>
  </si>
  <si>
    <t>V/GASTADO    $</t>
  </si>
  <si>
    <t>V/COMPROMETIDO  $</t>
  </si>
  <si>
    <t xml:space="preserve">V/GASTADO  MAS COMPROMETIDO  $ </t>
  </si>
  <si>
    <t>SALDO   $</t>
  </si>
  <si>
    <t>GASTOS</t>
  </si>
  <si>
    <t xml:space="preserve">  </t>
  </si>
  <si>
    <t>% DEL COMPROMETIDO</t>
  </si>
  <si>
    <t>%   GASTADO Y COMPROMETIDO</t>
  </si>
  <si>
    <t>% DEL SALDO</t>
  </si>
  <si>
    <t>PROGRAMA 3. 2 GESTIÓN DE AMBIENTAL, SALUBRIDAD E HIGIENE</t>
  </si>
  <si>
    <t>PROGRAMA 3. 5.- GESTIÓN DE PLANIFICACIÓN Y PROYECTOS</t>
  </si>
  <si>
    <t>PROGRAMA 5. 2.- SERVICIO DE LA DEUDA</t>
  </si>
  <si>
    <t>PROGRAMA 5.1.- GASTOS COMUNES DE LA ENTIDAD</t>
  </si>
  <si>
    <t>PROGRAMA 3.9.- GESTIÓN DE PATRIMONIO</t>
  </si>
  <si>
    <t>PROGRAMA 3.7.- REGISTRO DE LA PROPIEDAD</t>
  </si>
  <si>
    <t>PROGRAMA 3.6.- GESTIÓN DE OBRAS PÚBLICAS</t>
  </si>
  <si>
    <t>PROGRAMA 3.4.- GESTIÓN DE SERVICIOS MUNICIPALES</t>
  </si>
  <si>
    <t>PROGRAMA 3.3.- GESTIÓN DE MOVILIDAD Y TRANSPORTE</t>
  </si>
  <si>
    <t>PROGRAMA 3.1.- GESTIÓN DE ORDENAMIENTO TERRITORIAL</t>
  </si>
  <si>
    <t>PROGRAMA 2.4.- GESTIÓN DE DESARROLLO SOCIAL Y HUMANO (Patronato)</t>
  </si>
  <si>
    <t>PROGRAMA 2.2.- GESTIÓN DE TURISMO</t>
  </si>
  <si>
    <t>PROGRAMA 2.1.- GESTIÓN CULTURAL, DEPROTES Y RECREACIÓN</t>
  </si>
  <si>
    <t>PROGRAMA 1.9.- BALCON DE SERVICIOS</t>
  </si>
  <si>
    <t>PROGRAMA 1.8.- GESTIÓN DE TECNOLOGIAS DE LA INFORMACIÓN</t>
  </si>
  <si>
    <t>PROGRAMA 1.7 .- GESTION DE TALENTO HUMANO</t>
  </si>
  <si>
    <t>PROGRAMA 1.6.- GESTION DE COMUNICACIÓN</t>
  </si>
  <si>
    <t>PROGRAMA 1.5.- GESTION DE AUDITORIA INTERNA</t>
  </si>
  <si>
    <t>PROGRAMA 1.4.- GESTION DE PROCURADORIA</t>
  </si>
  <si>
    <t>PROGRAMA 1.3.- GESTION DE POLICIA, JUSTICIA Y VIGILANCIA</t>
  </si>
  <si>
    <t>PROGRAMA 1.2.-  GESTION FINANCIERA</t>
  </si>
  <si>
    <t>PROGRAMA 1.1.- GESTION ADMINISTRATIVA</t>
  </si>
  <si>
    <t>EVALUACIÓN PRESUPUESTARIA  CON CORTE AL 31 DE DICIEMBRE DEL 2014</t>
  </si>
  <si>
    <t>EVALUACIÓN PRESUPUESTARIA CON CORTE AL 31 DE DICIEMBRE DEL 2014</t>
  </si>
  <si>
    <t xml:space="preserve">EVALUACIÓN PRESUPUESTARIA </t>
  </si>
  <si>
    <t>RESUMEN DEL PRESUPUESTO DE GASTOS DEL EJERCICIO ECONOMICO AL 31 DE DICIEMBRE DEL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</si>
</sst>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77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/>
    </xf>
    <xf numFmtId="4" fontId="6" fillId="0" borderId="20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0" fillId="0" borderId="34" xfId="0" applyNumberFormat="1" applyBorder="1"/>
    <xf numFmtId="0" fontId="1" fillId="0" borderId="30" xfId="0" applyFont="1" applyBorder="1"/>
    <xf numFmtId="4" fontId="1" fillId="0" borderId="31" xfId="0" applyNumberFormat="1" applyFont="1" applyBorder="1"/>
    <xf numFmtId="4" fontId="1" fillId="0" borderId="34" xfId="0" applyNumberFormat="1" applyFont="1" applyBorder="1"/>
    <xf numFmtId="0" fontId="1" fillId="2" borderId="30" xfId="0" applyFont="1" applyFill="1" applyBorder="1"/>
    <xf numFmtId="4" fontId="1" fillId="2" borderId="31" xfId="0" applyNumberFormat="1" applyFont="1" applyFill="1" applyBorder="1"/>
    <xf numFmtId="4" fontId="1" fillId="0" borderId="30" xfId="0" applyNumberFormat="1" applyFont="1" applyBorder="1"/>
    <xf numFmtId="0" fontId="0" fillId="0" borderId="30" xfId="0" applyBorder="1"/>
    <xf numFmtId="4" fontId="0" fillId="0" borderId="31" xfId="0" applyNumberFormat="1" applyBorder="1"/>
    <xf numFmtId="4" fontId="1" fillId="0" borderId="36" xfId="0" applyNumberFormat="1" applyFont="1" applyBorder="1"/>
    <xf numFmtId="4" fontId="0" fillId="0" borderId="39" xfId="0" applyNumberFormat="1" applyBorder="1"/>
    <xf numFmtId="4" fontId="0" fillId="0" borderId="40" xfId="0" applyNumberFormat="1" applyBorder="1"/>
    <xf numFmtId="4" fontId="9" fillId="0" borderId="37" xfId="0" applyNumberFormat="1" applyFont="1" applyBorder="1"/>
    <xf numFmtId="4" fontId="9" fillId="0" borderId="38" xfId="0" applyNumberFormat="1" applyFont="1" applyBorder="1"/>
    <xf numFmtId="4" fontId="9" fillId="0" borderId="16" xfId="0" applyNumberFormat="1" applyFont="1" applyBorder="1"/>
    <xf numFmtId="4" fontId="9" fillId="0" borderId="33" xfId="0" applyNumberFormat="1" applyFont="1" applyBorder="1"/>
    <xf numFmtId="4" fontId="9" fillId="0" borderId="34" xfId="0" applyNumberFormat="1" applyFont="1" applyBorder="1"/>
    <xf numFmtId="4" fontId="7" fillId="0" borderId="1" xfId="0" applyNumberFormat="1" applyFont="1" applyBorder="1" applyAlignment="1">
      <alignment vertical="center" wrapText="1"/>
    </xf>
    <xf numFmtId="4" fontId="0" fillId="0" borderId="30" xfId="0" applyNumberForma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4" fontId="5" fillId="0" borderId="39" xfId="0" applyNumberFormat="1" applyFont="1" applyBorder="1"/>
    <xf numFmtId="4" fontId="5" fillId="0" borderId="40" xfId="0" applyNumberFormat="1" applyFont="1" applyBorder="1"/>
    <xf numFmtId="4" fontId="5" fillId="0" borderId="41" xfId="0" applyNumberFormat="1" applyFont="1" applyBorder="1"/>
    <xf numFmtId="4" fontId="5" fillId="0" borderId="42" xfId="0" applyNumberFormat="1" applyFont="1" applyBorder="1"/>
    <xf numFmtId="0" fontId="0" fillId="0" borderId="39" xfId="0" applyBorder="1"/>
    <xf numFmtId="4" fontId="9" fillId="0" borderId="1" xfId="0" applyNumberFormat="1" applyFont="1" applyBorder="1" applyAlignment="1">
      <alignment vertical="center" wrapText="1"/>
    </xf>
    <xf numFmtId="0" fontId="0" fillId="0" borderId="43" xfId="0" applyBorder="1"/>
    <xf numFmtId="4" fontId="0" fillId="0" borderId="18" xfId="0" applyNumberFormat="1" applyBorder="1"/>
    <xf numFmtId="0" fontId="0" fillId="0" borderId="41" xfId="0" applyBorder="1"/>
    <xf numFmtId="4" fontId="0" fillId="0" borderId="42" xfId="0" applyNumberFormat="1" applyBorder="1"/>
    <xf numFmtId="4" fontId="9" fillId="0" borderId="39" xfId="0" applyNumberFormat="1" applyFont="1" applyBorder="1"/>
    <xf numFmtId="4" fontId="9" fillId="0" borderId="40" xfId="0" applyNumberFormat="1" applyFont="1" applyBorder="1"/>
    <xf numFmtId="0" fontId="1" fillId="0" borderId="41" xfId="0" applyFont="1" applyBorder="1"/>
    <xf numFmtId="4" fontId="1" fillId="0" borderId="44" xfId="0" applyNumberFormat="1" applyFont="1" applyBorder="1"/>
    <xf numFmtId="4" fontId="1" fillId="0" borderId="42" xfId="0" applyNumberFormat="1" applyFont="1" applyBorder="1"/>
    <xf numFmtId="4" fontId="9" fillId="0" borderId="45" xfId="0" applyNumberFormat="1" applyFont="1" applyBorder="1"/>
    <xf numFmtId="0" fontId="0" fillId="0" borderId="47" xfId="0" applyBorder="1"/>
    <xf numFmtId="4" fontId="0" fillId="0" borderId="24" xfId="0" applyNumberFormat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" fontId="9" fillId="0" borderId="43" xfId="0" applyNumberFormat="1" applyFont="1" applyBorder="1"/>
    <xf numFmtId="4" fontId="9" fillId="0" borderId="48" xfId="0" applyNumberFormat="1" applyFont="1" applyBorder="1"/>
    <xf numFmtId="4" fontId="9" fillId="0" borderId="18" xfId="0" applyNumberFormat="1" applyFont="1" applyBorder="1"/>
    <xf numFmtId="4" fontId="0" fillId="0" borderId="45" xfId="0" applyNumberFormat="1" applyBorder="1"/>
    <xf numFmtId="0" fontId="1" fillId="0" borderId="39" xfId="0" applyFont="1" applyBorder="1"/>
    <xf numFmtId="4" fontId="1" fillId="0" borderId="40" xfId="0" applyNumberFormat="1" applyFont="1" applyBorder="1"/>
    <xf numFmtId="4" fontId="1" fillId="0" borderId="45" xfId="0" applyNumberFormat="1" applyFont="1" applyBorder="1"/>
    <xf numFmtId="4" fontId="7" fillId="0" borderId="37" xfId="0" applyNumberFormat="1" applyFont="1" applyBorder="1"/>
    <xf numFmtId="4" fontId="7" fillId="0" borderId="38" xfId="0" applyNumberFormat="1" applyFont="1" applyBorder="1"/>
    <xf numFmtId="4" fontId="7" fillId="0" borderId="16" xfId="0" applyNumberFormat="1" applyFont="1" applyBorder="1"/>
    <xf numFmtId="4" fontId="7" fillId="0" borderId="39" xfId="0" applyNumberFormat="1" applyFont="1" applyBorder="1"/>
    <xf numFmtId="4" fontId="7" fillId="0" borderId="45" xfId="0" applyNumberFormat="1" applyFont="1" applyBorder="1"/>
    <xf numFmtId="4" fontId="7" fillId="0" borderId="40" xfId="0" applyNumberFormat="1" applyFont="1" applyBorder="1"/>
    <xf numFmtId="4" fontId="5" fillId="0" borderId="43" xfId="0" applyNumberFormat="1" applyFont="1" applyBorder="1"/>
    <xf numFmtId="4" fontId="5" fillId="0" borderId="18" xfId="0" applyNumberFormat="1" applyFont="1" applyBorder="1"/>
    <xf numFmtId="4" fontId="7" fillId="0" borderId="33" xfId="0" applyNumberFormat="1" applyFont="1" applyBorder="1"/>
    <xf numFmtId="4" fontId="7" fillId="0" borderId="34" xfId="0" applyNumberFormat="1" applyFont="1" applyBorder="1"/>
    <xf numFmtId="4" fontId="1" fillId="0" borderId="41" xfId="0" applyNumberFormat="1" applyFont="1" applyBorder="1"/>
    <xf numFmtId="4" fontId="1" fillId="2" borderId="36" xfId="0" applyNumberFormat="1" applyFont="1" applyFill="1" applyBorder="1"/>
    <xf numFmtId="4" fontId="1" fillId="0" borderId="51" xfId="0" applyNumberFormat="1" applyFont="1" applyBorder="1"/>
    <xf numFmtId="4" fontId="7" fillId="0" borderId="52" xfId="0" applyNumberFormat="1" applyFont="1" applyBorder="1"/>
    <xf numFmtId="4" fontId="1" fillId="0" borderId="54" xfId="0" applyNumberFormat="1" applyFont="1" applyBorder="1"/>
    <xf numFmtId="4" fontId="5" fillId="0" borderId="49" xfId="0" applyNumberFormat="1" applyFont="1" applyBorder="1"/>
    <xf numFmtId="4" fontId="5" fillId="0" borderId="15" xfId="0" applyNumberFormat="1" applyFont="1" applyBorder="1"/>
    <xf numFmtId="4" fontId="5" fillId="0" borderId="55" xfId="0" applyNumberFormat="1" applyFont="1" applyBorder="1"/>
    <xf numFmtId="4" fontId="7" fillId="0" borderId="50" xfId="0" applyNumberFormat="1" applyFont="1" applyBorder="1"/>
    <xf numFmtId="0" fontId="10" fillId="0" borderId="2" xfId="0" applyFont="1" applyFill="1" applyBorder="1" applyAlignment="1">
      <alignment horizontal="center" wrapText="1"/>
    </xf>
    <xf numFmtId="4" fontId="0" fillId="0" borderId="2" xfId="0" applyNumberFormat="1" applyBorder="1"/>
    <xf numFmtId="4" fontId="0" fillId="0" borderId="54" xfId="0" applyNumberFormat="1" applyBorder="1"/>
    <xf numFmtId="4" fontId="0" fillId="0" borderId="23" xfId="0" applyNumberFormat="1" applyBorder="1"/>
    <xf numFmtId="4" fontId="5" fillId="0" borderId="50" xfId="0" applyNumberFormat="1" applyFont="1" applyBorder="1"/>
    <xf numFmtId="4" fontId="0" fillId="0" borderId="56" xfId="0" applyNumberFormat="1" applyBorder="1"/>
    <xf numFmtId="4" fontId="0" fillId="0" borderId="51" xfId="0" applyNumberFormat="1" applyBorder="1"/>
    <xf numFmtId="4" fontId="7" fillId="0" borderId="53" xfId="0" applyNumberFormat="1" applyFont="1" applyBorder="1"/>
    <xf numFmtId="0" fontId="10" fillId="0" borderId="54" xfId="0" applyFont="1" applyBorder="1" applyAlignment="1">
      <alignment horizontal="center" wrapText="1"/>
    </xf>
    <xf numFmtId="4" fontId="7" fillId="0" borderId="56" xfId="0" applyNumberFormat="1" applyFont="1" applyBorder="1"/>
    <xf numFmtId="4" fontId="0" fillId="0" borderId="1" xfId="0" applyNumberFormat="1" applyBorder="1"/>
    <xf numFmtId="4" fontId="0" fillId="0" borderId="50" xfId="0" applyNumberFormat="1" applyBorder="1"/>
    <xf numFmtId="4" fontId="9" fillId="0" borderId="56" xfId="0" applyNumberFormat="1" applyFont="1" applyBorder="1"/>
    <xf numFmtId="4" fontId="9" fillId="0" borderId="52" xfId="0" applyNumberFormat="1" applyFont="1" applyBorder="1"/>
    <xf numFmtId="4" fontId="5" fillId="0" borderId="54" xfId="0" applyNumberFormat="1" applyFont="1" applyBorder="1"/>
    <xf numFmtId="4" fontId="9" fillId="0" borderId="53" xfId="0" applyNumberFormat="1" applyFont="1" applyBorder="1"/>
    <xf numFmtId="4" fontId="0" fillId="0" borderId="25" xfId="0" applyNumberFormat="1" applyBorder="1"/>
    <xf numFmtId="4" fontId="0" fillId="0" borderId="57" xfId="0" applyNumberFormat="1" applyBorder="1"/>
    <xf numFmtId="4" fontId="9" fillId="0" borderId="50" xfId="0" applyNumberFormat="1" applyFont="1" applyBorder="1"/>
    <xf numFmtId="4" fontId="1" fillId="0" borderId="50" xfId="0" applyNumberFormat="1" applyFont="1" applyBorder="1"/>
    <xf numFmtId="4" fontId="8" fillId="0" borderId="50" xfId="0" applyNumberFormat="1" applyFont="1" applyBorder="1"/>
    <xf numFmtId="4" fontId="5" fillId="0" borderId="56" xfId="0" applyNumberFormat="1" applyFont="1" applyBorder="1"/>
    <xf numFmtId="4" fontId="1" fillId="2" borderId="51" xfId="0" applyNumberFormat="1" applyFont="1" applyFill="1" applyBorder="1"/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" fillId="0" borderId="33" xfId="0" applyFont="1" applyBorder="1"/>
    <xf numFmtId="4" fontId="1" fillId="0" borderId="53" xfId="0" applyNumberFormat="1" applyFont="1" applyBorder="1"/>
    <xf numFmtId="4" fontId="1" fillId="0" borderId="2" xfId="0" applyNumberFormat="1" applyFont="1" applyBorder="1"/>
    <xf numFmtId="0" fontId="2" fillId="0" borderId="40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43" xfId="0" applyFont="1" applyBorder="1"/>
    <xf numFmtId="4" fontId="1" fillId="0" borderId="18" xfId="0" applyNumberFormat="1" applyFont="1" applyBorder="1"/>
    <xf numFmtId="4" fontId="1" fillId="0" borderId="56" xfId="0" applyNumberFormat="1" applyFont="1" applyBorder="1"/>
    <xf numFmtId="4" fontId="1" fillId="0" borderId="23" xfId="0" applyNumberFormat="1" applyFont="1" applyBorder="1"/>
    <xf numFmtId="0" fontId="2" fillId="0" borderId="54" xfId="0" applyFont="1" applyBorder="1" applyAlignment="1">
      <alignment horizontal="center" wrapText="1"/>
    </xf>
    <xf numFmtId="4" fontId="0" fillId="0" borderId="6" xfId="0" applyNumberFormat="1" applyBorder="1"/>
    <xf numFmtId="4" fontId="1" fillId="0" borderId="22" xfId="0" applyNumberFormat="1" applyFont="1" applyBorder="1"/>
    <xf numFmtId="4" fontId="0" fillId="0" borderId="10" xfId="0" applyNumberFormat="1" applyBorder="1"/>
    <xf numFmtId="0" fontId="2" fillId="0" borderId="2" xfId="0" applyFont="1" applyFill="1" applyBorder="1" applyAlignment="1">
      <alignment horizontal="center" wrapText="1"/>
    </xf>
    <xf numFmtId="4" fontId="0" fillId="0" borderId="8" xfId="0" applyNumberFormat="1" applyBorder="1"/>
    <xf numFmtId="4" fontId="5" fillId="0" borderId="2" xfId="0" applyNumberFormat="1" applyFont="1" applyBorder="1"/>
    <xf numFmtId="0" fontId="2" fillId="0" borderId="4" xfId="0" applyFont="1" applyFill="1" applyBorder="1" applyAlignment="1">
      <alignment horizontal="center" wrapText="1"/>
    </xf>
    <xf numFmtId="4" fontId="0" fillId="0" borderId="22" xfId="0" applyNumberFormat="1" applyBorder="1"/>
    <xf numFmtId="0" fontId="0" fillId="0" borderId="25" xfId="0" applyBorder="1"/>
    <xf numFmtId="0" fontId="13" fillId="0" borderId="54" xfId="0" applyFont="1" applyBorder="1" applyAlignment="1">
      <alignment horizontal="center" wrapText="1"/>
    </xf>
    <xf numFmtId="0" fontId="1" fillId="0" borderId="15" xfId="0" applyFont="1" applyBorder="1"/>
    <xf numFmtId="4" fontId="1" fillId="0" borderId="15" xfId="0" applyNumberFormat="1" applyFont="1" applyBorder="1"/>
    <xf numFmtId="4" fontId="1" fillId="0" borderId="55" xfId="0" applyNumberFormat="1" applyFont="1" applyBorder="1"/>
    <xf numFmtId="4" fontId="2" fillId="0" borderId="2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0" fillId="3" borderId="0" xfId="0" applyFill="1"/>
    <xf numFmtId="0" fontId="1" fillId="0" borderId="40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0" fillId="0" borderId="33" xfId="0" applyBorder="1"/>
    <xf numFmtId="0" fontId="0" fillId="0" borderId="35" xfId="0" applyBorder="1"/>
    <xf numFmtId="4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0" fontId="0" fillId="0" borderId="60" xfId="0" applyBorder="1"/>
    <xf numFmtId="0" fontId="1" fillId="0" borderId="40" xfId="0" applyFont="1" applyBorder="1"/>
    <xf numFmtId="0" fontId="1" fillId="0" borderId="60" xfId="0" applyFont="1" applyBorder="1"/>
    <xf numFmtId="0" fontId="0" fillId="0" borderId="40" xfId="0" applyBorder="1" applyAlignment="1">
      <alignment horizontal="center" wrapText="1"/>
    </xf>
    <xf numFmtId="0" fontId="1" fillId="0" borderId="33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9" fontId="1" fillId="0" borderId="18" xfId="1" applyFont="1" applyBorder="1" applyAlignment="1">
      <alignment vertical="center"/>
    </xf>
    <xf numFmtId="10" fontId="1" fillId="0" borderId="18" xfId="1" applyNumberFormat="1" applyFont="1" applyBorder="1" applyAlignment="1">
      <alignment vertical="center"/>
    </xf>
    <xf numFmtId="10" fontId="0" fillId="0" borderId="18" xfId="1" applyNumberFormat="1" applyFont="1" applyBorder="1"/>
    <xf numFmtId="4" fontId="2" fillId="0" borderId="50" xfId="0" applyNumberFormat="1" applyFont="1" applyBorder="1" applyAlignment="1">
      <alignment horizontal="center" vertical="center" wrapText="1"/>
    </xf>
    <xf numFmtId="10" fontId="0" fillId="0" borderId="23" xfId="1" applyNumberFormat="1" applyFont="1" applyBorder="1"/>
    <xf numFmtId="0" fontId="13" fillId="0" borderId="40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48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2" fillId="0" borderId="4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4" fontId="1" fillId="0" borderId="56" xfId="0" applyNumberFormat="1" applyFont="1" applyBorder="1" applyAlignment="1">
      <alignment vertical="center"/>
    </xf>
    <xf numFmtId="10" fontId="1" fillId="0" borderId="23" xfId="1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32" xfId="0" applyBorder="1"/>
    <xf numFmtId="0" fontId="1" fillId="0" borderId="3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" fillId="0" borderId="0" xfId="0" applyFont="1" applyBorder="1"/>
    <xf numFmtId="4" fontId="1" fillId="0" borderId="0" xfId="0" applyNumberFormat="1" applyFont="1" applyBorder="1"/>
    <xf numFmtId="0" fontId="17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10" fontId="1" fillId="0" borderId="56" xfId="1" applyNumberFormat="1" applyFont="1" applyBorder="1" applyAlignment="1">
      <alignment vertical="center"/>
    </xf>
    <xf numFmtId="0" fontId="1" fillId="0" borderId="47" xfId="0" applyFont="1" applyBorder="1"/>
    <xf numFmtId="4" fontId="1" fillId="0" borderId="57" xfId="0" applyNumberFormat="1" applyFont="1" applyBorder="1"/>
    <xf numFmtId="4" fontId="1" fillId="0" borderId="25" xfId="0" applyNumberFormat="1" applyFont="1" applyBorder="1"/>
    <xf numFmtId="0" fontId="0" fillId="0" borderId="31" xfId="0" applyBorder="1"/>
    <xf numFmtId="4" fontId="1" fillId="0" borderId="34" xfId="0" applyNumberFormat="1" applyFont="1" applyBorder="1" applyAlignment="1">
      <alignment vertical="center"/>
    </xf>
    <xf numFmtId="4" fontId="14" fillId="0" borderId="28" xfId="0" applyNumberFormat="1" applyFont="1" applyBorder="1"/>
    <xf numFmtId="4" fontId="15" fillId="0" borderId="32" xfId="0" applyNumberFormat="1" applyFont="1" applyBorder="1"/>
    <xf numFmtId="4" fontId="0" fillId="0" borderId="26" xfId="0" applyNumberForma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25" xfId="0" applyNumberForma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4" fontId="0" fillId="0" borderId="28" xfId="0" applyNumberForma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25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23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0" fillId="3" borderId="28" xfId="0" applyNumberFormat="1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4" fontId="0" fillId="0" borderId="4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42" xfId="0" applyNumberFormat="1" applyBorder="1" applyAlignment="1">
      <alignment vertical="center" wrapText="1"/>
    </xf>
    <xf numFmtId="4" fontId="0" fillId="0" borderId="58" xfId="0" applyNumberFormat="1" applyBorder="1" applyAlignment="1">
      <alignment vertical="center" wrapText="1"/>
    </xf>
    <xf numFmtId="4" fontId="0" fillId="0" borderId="59" xfId="0" applyNumberFormat="1" applyBorder="1" applyAlignment="1">
      <alignment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4" fontId="0" fillId="0" borderId="57" xfId="0" applyNumberForma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" fontId="0" fillId="3" borderId="6" xfId="0" applyNumberFormat="1" applyFill="1" applyBorder="1" applyAlignment="1">
      <alignment vertical="center" wrapText="1"/>
    </xf>
    <xf numFmtId="4" fontId="0" fillId="3" borderId="26" xfId="0" applyNumberFormat="1" applyFill="1" applyBorder="1" applyAlignment="1">
      <alignment vertical="center" wrapText="1"/>
    </xf>
    <xf numFmtId="0" fontId="1" fillId="0" borderId="34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9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REPRESENTACIÓN</a:t>
            </a:r>
            <a:r>
              <a:rPr lang="en-US" baseline="0"/>
              <a:t> GRAFICA DE LA EJECUCIÓN DEL PRESUPUESTO DE LOS </a:t>
            </a:r>
            <a:r>
              <a:rPr lang="en-US"/>
              <a:t>INGRESOS DEL</a:t>
            </a:r>
            <a:r>
              <a:rPr lang="en-US" baseline="0"/>
              <a:t> EJERCICIO ECONÓMICO AL 3 DE DICIEMBRE DEL 2014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005884083553985E-2"/>
          <c:y val="0.17099035848693581"/>
          <c:w val="0.97411003236245952"/>
          <c:h val="0.750714335289671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'EVAL-GAST-CORTE-31-12-14'!$B$9</c:f>
              <c:strCache>
                <c:ptCount val="1"/>
                <c:pt idx="0">
                  <c:v>INGRESOS TOTALES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3.7348272642390291E-3"/>
                  <c:y val="-4.4630397928024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696545284780582E-3"/>
                  <c:y val="-4.0911198100689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449424214130097E-3"/>
                  <c:y val="-2.975359861868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4696545284780582E-3"/>
                  <c:y val="-5.5787997410031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975359861868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4696545284779663E-3"/>
                  <c:y val="-4.0911198100689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7145969498910684E-3"/>
                  <c:y val="-4.4630397928024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4696545284780582E-3"/>
                  <c:y val="-5.2068797582695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'EVAL-GAST-CORTE-31-12-14'!$C$8:$J$8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'EVAL-GAST-CORTE-31-12-14'!$C$9:$J$9</c:f>
              <c:numCache>
                <c:formatCode>#,##0.00</c:formatCode>
                <c:ptCount val="8"/>
                <c:pt idx="0">
                  <c:v>71175643.689999998</c:v>
                </c:pt>
                <c:pt idx="1">
                  <c:v>100</c:v>
                </c:pt>
                <c:pt idx="2">
                  <c:v>68260096.739999995</c:v>
                </c:pt>
                <c:pt idx="3">
                  <c:v>95.903729423651654</c:v>
                </c:pt>
                <c:pt idx="4">
                  <c:v>3821135.1500000032</c:v>
                </c:pt>
                <c:pt idx="5">
                  <c:v>5.3685993577278506</c:v>
                </c:pt>
                <c:pt idx="6">
                  <c:v>905588.2</c:v>
                </c:pt>
                <c:pt idx="7">
                  <c:v>1.2723287813795112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3895808"/>
        <c:axId val="83901824"/>
        <c:axId val="0"/>
      </c:bar3DChart>
      <c:catAx>
        <c:axId val="83895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901824"/>
        <c:crosses val="autoZero"/>
        <c:auto val="1"/>
        <c:lblAlgn val="ctr"/>
        <c:lblOffset val="100"/>
        <c:noMultiLvlLbl val="0"/>
      </c:catAx>
      <c:valAx>
        <c:axId val="839018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8389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'EVAL-GAST-CORTE-31-12-14'!$B$399</c:f>
              <c:strCache>
                <c:ptCount val="1"/>
                <c:pt idx="0">
                  <c:v>TRANSFERENCIAS Y DONACIONES DE CAPITAL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2.5015634771732445E-3"/>
                  <c:y val="-4.5133984854053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523452157598499E-3"/>
                  <c:y val="-4.1372819449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1372819449549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25703564727955E-2"/>
                  <c:y val="-4.5133984854053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25703564727955E-2"/>
                  <c:y val="-4.1372819449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523452157598499E-3"/>
                  <c:y val="-5.6417481067566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0031269543464665E-3"/>
                  <c:y val="-4.5133984854053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006253908692933E-2"/>
                  <c:y val="-5.2656315663062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'EVAL-GAST-CORTE-31-12-14'!$C$398:$J$398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'EVAL-GAST-CORTE-31-12-14'!$C$399:$J$399</c:f>
              <c:numCache>
                <c:formatCode>#,##0.00</c:formatCode>
                <c:ptCount val="8"/>
                <c:pt idx="0">
                  <c:v>20196433.530000001</c:v>
                </c:pt>
                <c:pt idx="1">
                  <c:v>100</c:v>
                </c:pt>
                <c:pt idx="2">
                  <c:v>18264100.879999999</c:v>
                </c:pt>
                <c:pt idx="3">
                  <c:v>90.432307530288981</c:v>
                </c:pt>
                <c:pt idx="4">
                  <c:v>2003624.3500000022</c:v>
                </c:pt>
                <c:pt idx="5">
                  <c:v>9.92068400108265</c:v>
                </c:pt>
                <c:pt idx="6">
                  <c:v>71291.7</c:v>
                </c:pt>
                <c:pt idx="7">
                  <c:v>0.35299153137162825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261824"/>
        <c:axId val="93276032"/>
        <c:axId val="0"/>
      </c:bar3DChart>
      <c:catAx>
        <c:axId val="9326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276032"/>
        <c:crosses val="autoZero"/>
        <c:auto val="1"/>
        <c:lblAlgn val="ctr"/>
        <c:lblOffset val="100"/>
        <c:noMultiLvlLbl val="0"/>
      </c:catAx>
      <c:valAx>
        <c:axId val="932760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26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'EVAL-GAST-CORTE-31-12-14'!$B$443</c:f>
              <c:strCache>
                <c:ptCount val="1"/>
                <c:pt idx="0">
                  <c:v>INGRESOS DE FINANCIAMIENTO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5.0125313283208017E-3"/>
                  <c:y val="-4.726734865221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1206294373231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593984962406013E-3"/>
                  <c:y val="-4.3328402931195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5187969924812026E-3"/>
                  <c:y val="-4.726734865221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4.726734865221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771929824561403E-3"/>
                  <c:y val="-4.726734865221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593984962406932E-3"/>
                  <c:y val="-5.9084185815267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7593984962406013E-3"/>
                  <c:y val="-5.1206294373231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'EVAL-GAST-CORTE-31-12-14'!$C$442:$J$442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'EVAL-GAST-CORTE-31-12-14'!$C$443:$J$443</c:f>
              <c:numCache>
                <c:formatCode>#,##0.00</c:formatCode>
                <c:ptCount val="8"/>
                <c:pt idx="0">
                  <c:v>36004808.310000002</c:v>
                </c:pt>
                <c:pt idx="1">
                  <c:v>100</c:v>
                </c:pt>
                <c:pt idx="2">
                  <c:v>34768025.5</c:v>
                </c:pt>
                <c:pt idx="3">
                  <c:v>96.5649509939024</c:v>
                </c:pt>
                <c:pt idx="4">
                  <c:v>1280901.8700000024</c:v>
                </c:pt>
                <c:pt idx="5">
                  <c:v>3.5575855840461279</c:v>
                </c:pt>
                <c:pt idx="6">
                  <c:v>44119.06</c:v>
                </c:pt>
                <c:pt idx="7">
                  <c:v>0.12253657794852456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299840"/>
        <c:axId val="93305856"/>
        <c:axId val="0"/>
      </c:bar3DChart>
      <c:catAx>
        <c:axId val="93299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05856"/>
        <c:crosses val="autoZero"/>
        <c:auto val="1"/>
        <c:lblAlgn val="ctr"/>
        <c:lblOffset val="100"/>
        <c:noMultiLvlLbl val="0"/>
      </c:catAx>
      <c:valAx>
        <c:axId val="933058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29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'EVAL-GAST-CORTE-31-12-14'!$B$487</c:f>
              <c:strCache>
                <c:ptCount val="1"/>
                <c:pt idx="0">
                  <c:v>FINANCIAMIENTO DEL SECTOR PUBLICO INTERNO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2.5062656641604126E-3"/>
                  <c:y val="-5.547849400206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656641604010022E-3"/>
                  <c:y val="-4.4382795201649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5.547849400206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0125313283208017E-3"/>
                  <c:y val="-4.0684228934844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5.547849400206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5187969924812026E-3"/>
                  <c:y val="-4.4382795201649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5187969924812026E-3"/>
                  <c:y val="-5.547849400206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025062656641603E-2"/>
                  <c:y val="-4.4382795201649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'EVAL-GAST-CORTE-31-12-14'!$C$486:$J$486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'EVAL-GAST-CORTE-31-12-14'!$C$487:$J$487</c:f>
              <c:numCache>
                <c:formatCode>#,##0.00</c:formatCode>
                <c:ptCount val="8"/>
                <c:pt idx="0">
                  <c:v>733443.4</c:v>
                </c:pt>
                <c:pt idx="1">
                  <c:v>100</c:v>
                </c:pt>
                <c:pt idx="2">
                  <c:v>530550.16</c:v>
                </c:pt>
                <c:pt idx="3">
                  <c:v>72.336891981030845</c:v>
                </c:pt>
                <c:pt idx="4">
                  <c:v>202893.24</c:v>
                </c:pt>
                <c:pt idx="5">
                  <c:v>27.663108018969151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022848"/>
        <c:axId val="93053696"/>
        <c:axId val="0"/>
      </c:bar3DChart>
      <c:catAx>
        <c:axId val="93022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3053696"/>
        <c:crosses val="autoZero"/>
        <c:auto val="1"/>
        <c:lblAlgn val="ctr"/>
        <c:lblOffset val="100"/>
        <c:noMultiLvlLbl val="0"/>
      </c:catAx>
      <c:valAx>
        <c:axId val="930536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02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'EVAL-GAST-CORTE-31-12-14'!$B$531</c:f>
              <c:strCache>
                <c:ptCount val="1"/>
                <c:pt idx="0">
                  <c:v>SALDOS DISPONIBLES (CAJA BANCOS Y FON-GARAN)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3.7523452157598499E-3"/>
                  <c:y val="-4.603806352360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7554721701063164E-3"/>
                  <c:y val="-4.603806352360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523452157598499E-3"/>
                  <c:y val="-4.603806352360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523452157598499E-3"/>
                  <c:y val="-7.4369179538130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046904315196998E-3"/>
                  <c:y val="-5.312084252723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0031269543463746E-3"/>
                  <c:y val="-5.312084252723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1722934571851356E-17"/>
                  <c:y val="-3.5413895018157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7554721701063164E-3"/>
                  <c:y val="-4.249667402178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'EVAL-GAST-CORTE-31-12-14'!$C$530:$J$530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'EVAL-GAST-CORTE-31-12-14'!$C$531:$J$531</c:f>
              <c:numCache>
                <c:formatCode>#,##0.00</c:formatCode>
                <c:ptCount val="8"/>
                <c:pt idx="0">
                  <c:v>31141934.350000001</c:v>
                </c:pt>
                <c:pt idx="1">
                  <c:v>100</c:v>
                </c:pt>
                <c:pt idx="2">
                  <c:v>31141934.350000001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081600"/>
        <c:axId val="93087616"/>
        <c:axId val="0"/>
      </c:bar3DChart>
      <c:catAx>
        <c:axId val="93081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087616"/>
        <c:crosses val="autoZero"/>
        <c:auto val="1"/>
        <c:lblAlgn val="ctr"/>
        <c:lblOffset val="100"/>
        <c:noMultiLvlLbl val="0"/>
      </c:catAx>
      <c:valAx>
        <c:axId val="9308761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9308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'EVAL-GAST-CORTE-31-12-14'!$B$575</c:f>
              <c:strCache>
                <c:ptCount val="1"/>
                <c:pt idx="0">
                  <c:v>CUENTAS PENDIENTES POR COBRAR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1.2507817385866166E-3"/>
                  <c:y val="-5.5787997410031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006253908692933E-2"/>
                  <c:y val="-4.0911198100689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015634771732333E-3"/>
                  <c:y val="-5.5787997410031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5046904315196998E-3"/>
                  <c:y val="-4.0911198100689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507817385866166E-3"/>
                  <c:y val="-5.5787997410031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7554721701063164E-3"/>
                  <c:y val="-4.834959775536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5046904315196998E-3"/>
                  <c:y val="-4.4630397928024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25703564727955E-2"/>
                  <c:y val="-5.5787997410031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'EVAL-GAST-CORTE-31-12-14'!$C$574:$J$574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'EVAL-GAST-CORTE-31-12-14'!$C$575:$J$575</c:f>
              <c:numCache>
                <c:formatCode>#,##0.00</c:formatCode>
                <c:ptCount val="8"/>
                <c:pt idx="0">
                  <c:v>4129430.56</c:v>
                </c:pt>
                <c:pt idx="1">
                  <c:v>100</c:v>
                </c:pt>
                <c:pt idx="2">
                  <c:v>3095540.99</c:v>
                </c:pt>
                <c:pt idx="3">
                  <c:v>74.962902148910331</c:v>
                </c:pt>
                <c:pt idx="4">
                  <c:v>1078008.6299999999</c:v>
                </c:pt>
                <c:pt idx="5">
                  <c:v>26.10550327307114</c:v>
                </c:pt>
                <c:pt idx="6">
                  <c:v>44119.06</c:v>
                </c:pt>
                <c:pt idx="7">
                  <c:v>1.0684054219814754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131520"/>
        <c:axId val="93137536"/>
        <c:axId val="0"/>
      </c:bar3DChart>
      <c:catAx>
        <c:axId val="93131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137536"/>
        <c:crosses val="autoZero"/>
        <c:auto val="1"/>
        <c:lblAlgn val="ctr"/>
        <c:lblOffset val="100"/>
        <c:noMultiLvlLbl val="0"/>
      </c:catAx>
      <c:valAx>
        <c:axId val="931375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13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897175417839609E-2"/>
          <c:y val="0.16307135651187324"/>
          <c:w val="0.84460288577917397"/>
          <c:h val="0.80795250898207616"/>
        </c:manualLayout>
      </c:layout>
      <c:pie3DChart>
        <c:varyColors val="1"/>
        <c:ser>
          <c:idx val="0"/>
          <c:order val="0"/>
          <c:tx>
            <c:strRef>
              <c:f>'EVAL-GAST-CORTE-31-12-14'!$B$2933</c:f>
              <c:strCache>
                <c:ptCount val="1"/>
                <c:pt idx="0">
                  <c:v>TOTALES DE PRESUPUESTO DEL AÑO 2014</c:v>
                </c:pt>
              </c:strCache>
            </c:strRef>
          </c:tx>
          <c:spPr>
            <a:ln w="76200">
              <a:solidFill>
                <a:sysClr val="windowText" lastClr="000000"/>
              </a:solidFill>
            </a:ln>
          </c:spPr>
          <c:explosion val="4"/>
          <c:dLbls>
            <c:dLbl>
              <c:idx val="0"/>
              <c:layout>
                <c:manualLayout>
                  <c:x val="-0.18732049822958613"/>
                  <c:y val="2.7962811434858882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TOTAL DEL PRESUPUESTADO-2014            </a:t>
                    </a:r>
                  </a:p>
                  <a:p>
                    <a:pPr>
                      <a:defRPr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$, 71,175,643.69</a:t>
                    </a:r>
                    <a:endParaRPr lang="en-US"/>
                  </a:p>
                </c:rich>
              </c:tx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513801247895639"/>
                  <c:y val="-0.33363569783889369"/>
                </c:manualLayout>
              </c:layout>
              <c:spPr>
                <a:solidFill>
                  <a:schemeClr val="lt1"/>
                </a:solidFill>
                <a:ln w="38100" cap="flat" cmpd="sng" algn="ctr">
                  <a:solidFill>
                    <a:schemeClr val="accent6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162657870855291"/>
                  <c:y val="-0.29174934127940499"/>
                </c:manualLayout>
              </c:layout>
              <c:spPr>
                <a:solidFill>
                  <a:schemeClr val="lt1"/>
                </a:solidFill>
                <a:ln w="381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/>
                      <a:t>V/GASTADO  MAS COMPROMETIDO  </a:t>
                    </a:r>
                  </a:p>
                  <a:p>
                    <a:pPr>
                      <a:defRPr b="1"/>
                    </a:pPr>
                    <a:r>
                      <a:rPr lang="en-US"/>
                      <a:t> $ , 53,234,627.23</a:t>
                    </a:r>
                  </a:p>
                </c:rich>
              </c:tx>
              <c:spPr>
                <a:solidFill>
                  <a:srgbClr val="FFFF00"/>
                </a:solidFill>
                <a:ln w="57150">
                  <a:solidFill>
                    <a:schemeClr val="accent6">
                      <a:lumMod val="75000"/>
                    </a:schemeClr>
                  </a:solidFill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'EVAL-GAST-CORTE-31-12-14'!$C$2932:$G$2932</c:f>
              <c:strCache>
                <c:ptCount val="5"/>
                <c:pt idx="0">
                  <c:v>TOTAL DEL PRESUPUESTADO-2014     $</c:v>
                </c:pt>
                <c:pt idx="1">
                  <c:v>V/GASTADO    $</c:v>
                </c:pt>
                <c:pt idx="2">
                  <c:v>V/COMPROMETIDO  $</c:v>
                </c:pt>
                <c:pt idx="3">
                  <c:v>V/GASTADO  MAS COMPROMETIDO  $ </c:v>
                </c:pt>
                <c:pt idx="4">
                  <c:v>SALDO   $</c:v>
                </c:pt>
              </c:strCache>
            </c:strRef>
          </c:cat>
          <c:val>
            <c:numRef>
              <c:f>'EVAL-GAST-CORTE-31-12-14'!$C$2933:$G$2933</c:f>
              <c:numCache>
                <c:formatCode>#,##0.00</c:formatCode>
                <c:ptCount val="5"/>
                <c:pt idx="0">
                  <c:v>71175643.689999998</c:v>
                </c:pt>
                <c:pt idx="1">
                  <c:v>27230229.620000005</c:v>
                </c:pt>
                <c:pt idx="2">
                  <c:v>26004397.609999999</c:v>
                </c:pt>
                <c:pt idx="3">
                  <c:v>53234627.230000004</c:v>
                </c:pt>
                <c:pt idx="4">
                  <c:v>17941016.459999997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ln w="76200"/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'EVAL-GAST-CORTE-31-12-14'!$B$658</c:f>
              <c:strCache>
                <c:ptCount val="1"/>
                <c:pt idx="0">
                  <c:v>PROGRAMA 1.1.- GESTION ADMINISTRATIVA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2.7657733013224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755274261603376E-3"/>
                  <c:y val="-2.996254409766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457216626653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258790436005627E-3"/>
                  <c:y val="-3.457216626653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503516174402251E-3"/>
                  <c:y val="-3.457216626653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2503516174402251E-3"/>
                  <c:y val="-3.2267355182095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251193945450932E-17"/>
                  <c:y val="-3.6876977350966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251193945450932E-17"/>
                  <c:y val="-3.457216626653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2503516174402251E-3"/>
                  <c:y val="-3.457216626653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3755274261603376E-3"/>
                  <c:y val="-3.457216626653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'EVAL-GAST-CORTE-31-12-14'!$C$657:$L$657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'EVAL-GAST-CORTE-31-12-14'!$C$658:$L$658</c:f>
              <c:numCache>
                <c:formatCode>0%</c:formatCode>
                <c:ptCount val="10"/>
                <c:pt idx="0" formatCode="#,##0.00">
                  <c:v>4002712.33</c:v>
                </c:pt>
                <c:pt idx="1">
                  <c:v>1</c:v>
                </c:pt>
                <c:pt idx="2" formatCode="#,##0.00">
                  <c:v>2469888.4699999997</c:v>
                </c:pt>
                <c:pt idx="3" formatCode="0.00%">
                  <c:v>0.61705370418163419</c:v>
                </c:pt>
                <c:pt idx="4" formatCode="#,##0.00">
                  <c:v>675021.84</c:v>
                </c:pt>
                <c:pt idx="5" formatCode="0.00%">
                  <c:v>0.16864110741628038</c:v>
                </c:pt>
                <c:pt idx="6" formatCode="#,##0.00">
                  <c:v>3144910.3099999996</c:v>
                </c:pt>
                <c:pt idx="7" formatCode="0.00%">
                  <c:v>0.78569481159791454</c:v>
                </c:pt>
                <c:pt idx="8" formatCode="#,##0.00">
                  <c:v>857802.02000000048</c:v>
                </c:pt>
                <c:pt idx="9" formatCode="0.00%">
                  <c:v>0.21430518840208546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237632"/>
        <c:axId val="93256704"/>
        <c:axId val="0"/>
      </c:bar3DChart>
      <c:catAx>
        <c:axId val="9323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23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'EVAL-GAST-CORTE-31-12-14'!$B$764</c:f>
              <c:strCache>
                <c:ptCount val="1"/>
                <c:pt idx="0">
                  <c:v>PROGRAMA 1.2.-  GESTION FINANCIERA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3.0489584048942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163998876720021E-3"/>
                  <c:y val="-2.345352619149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04895840489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4931199101375602E-3"/>
                  <c:y val="-2.8144231429793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9870994525540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232799775344005E-3"/>
                  <c:y val="-3.2834936668092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2372913440264145E-17"/>
                  <c:y val="-3.2834936668092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7396798652063199E-3"/>
                  <c:y val="-3.04895840489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396798652064023E-3"/>
                  <c:y val="-3.9870994525540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7396798652064023E-3"/>
                  <c:y val="-3.5180289287241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'EVAL-GAST-CORTE-31-12-14'!$C$763:$L$763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'EVAL-GAST-CORTE-31-12-14'!$C$764:$L$764</c:f>
              <c:numCache>
                <c:formatCode>0%</c:formatCode>
                <c:ptCount val="10"/>
                <c:pt idx="0" formatCode="#,##0.00">
                  <c:v>1819521.58</c:v>
                </c:pt>
                <c:pt idx="1">
                  <c:v>1</c:v>
                </c:pt>
                <c:pt idx="2" formatCode="#,##0.00">
                  <c:v>1199753.3700000001</c:v>
                </c:pt>
                <c:pt idx="3" formatCode="0.00%">
                  <c:v>0.65937847794033866</c:v>
                </c:pt>
                <c:pt idx="4" formatCode="#,##0.00">
                  <c:v>217184.14</c:v>
                </c:pt>
                <c:pt idx="5" formatCode="0.00%">
                  <c:v>0.11936332186837817</c:v>
                </c:pt>
                <c:pt idx="6" formatCode="#,##0.00">
                  <c:v>1416937.5100000002</c:v>
                </c:pt>
                <c:pt idx="7" formatCode="0.00%">
                  <c:v>0.77874179980871683</c:v>
                </c:pt>
                <c:pt idx="8" formatCode="#,##0.00">
                  <c:v>402584.06999999983</c:v>
                </c:pt>
                <c:pt idx="9" formatCode="0.00%">
                  <c:v>0.22125820019128314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690112"/>
        <c:axId val="93701248"/>
        <c:axId val="0"/>
      </c:bar3DChart>
      <c:catAx>
        <c:axId val="93690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01248"/>
        <c:crosses val="autoZero"/>
        <c:auto val="1"/>
        <c:lblAlgn val="ctr"/>
        <c:lblOffset val="100"/>
        <c:noMultiLvlLbl val="0"/>
      </c:catAx>
      <c:valAx>
        <c:axId val="937012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69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'EVAL-GAST-CORTE-31-12-14'!$B$870</c:f>
              <c:strCache>
                <c:ptCount val="1"/>
                <c:pt idx="0">
                  <c:v>PROGRAMA 1.3.- GESTION DE POLICIA, JUSTICIA Y VIGILANCIA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3.3670033670033669E-3"/>
                  <c:y val="-3.3927053806704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446689113355782E-3"/>
                  <c:y val="-2.7141643045363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23344556677891E-3"/>
                  <c:y val="-2.940344663247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4893378226711564E-3"/>
                  <c:y val="-2.7141643045363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166525021959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7141643045363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3.6188857393818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4879839458249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3.1665250219590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3670033670033669E-3"/>
                  <c:y val="-2.940344663247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'EVAL-GAST-CORTE-31-12-14'!$C$869:$L$869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'EVAL-GAST-CORTE-31-12-14'!$C$870:$L$870</c:f>
              <c:numCache>
                <c:formatCode>0%</c:formatCode>
                <c:ptCount val="10"/>
                <c:pt idx="0" formatCode="#,##0.00">
                  <c:v>1034178.54</c:v>
                </c:pt>
                <c:pt idx="1">
                  <c:v>1</c:v>
                </c:pt>
                <c:pt idx="2" formatCode="#,##0.00">
                  <c:v>661982.31999999995</c:v>
                </c:pt>
                <c:pt idx="3" formatCode="0.00%">
                  <c:v>0.64010448331291026</c:v>
                </c:pt>
                <c:pt idx="4" formatCode="#,##0.00">
                  <c:v>125659.02</c:v>
                </c:pt>
                <c:pt idx="5" formatCode="0.00%">
                  <c:v>0.12150611827625045</c:v>
                </c:pt>
                <c:pt idx="6" formatCode="#,##0.00">
                  <c:v>787641.34</c:v>
                </c:pt>
                <c:pt idx="7" formatCode="0.00%">
                  <c:v>0.76161060158916072</c:v>
                </c:pt>
                <c:pt idx="8" formatCode="#,##0.00">
                  <c:v>246537.20000000007</c:v>
                </c:pt>
                <c:pt idx="9" formatCode="0.00%">
                  <c:v>0.23838939841083925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737344"/>
        <c:axId val="93747840"/>
        <c:axId val="0"/>
      </c:bar3DChart>
      <c:catAx>
        <c:axId val="9373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47840"/>
        <c:crosses val="autoZero"/>
        <c:auto val="1"/>
        <c:lblAlgn val="ctr"/>
        <c:lblOffset val="100"/>
        <c:noMultiLvlLbl val="0"/>
      </c:catAx>
      <c:valAx>
        <c:axId val="937478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73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'EVAL-GAST-CORTE-31-12-14'!$B$975</c:f>
              <c:strCache>
                <c:ptCount val="1"/>
                <c:pt idx="0">
                  <c:v>PROGRAMA 1.4.- GESTION DE PROCURADORIA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2.9347028613352986E-3"/>
                  <c:y val="-3.745319088407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760577158229395E-2"/>
                  <c:y val="-3.4956311491798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3470286133529E-3"/>
                  <c:y val="-3.9950070276341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9962552707256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564685742235266E-3"/>
                  <c:y val="-5.243446723769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8911714355588162E-3"/>
                  <c:y val="-3.245943209952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4.4943829060884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911714355588162E-3"/>
                  <c:y val="-5.243446723769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3470286133529E-3"/>
                  <c:y val="-6.2421984806783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3.9950070276341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'EVAL-GAST-CORTE-31-12-14'!$C$974:$L$974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'EVAL-GAST-CORTE-31-12-14'!$C$975:$L$975</c:f>
              <c:numCache>
                <c:formatCode>0%</c:formatCode>
                <c:ptCount val="10"/>
                <c:pt idx="0" formatCode="#,##0.00">
                  <c:v>619258.27</c:v>
                </c:pt>
                <c:pt idx="1">
                  <c:v>1</c:v>
                </c:pt>
                <c:pt idx="2" formatCode="#,##0.00">
                  <c:v>292735.7</c:v>
                </c:pt>
                <c:pt idx="3" formatCode="0.00%">
                  <c:v>0.47271988793948605</c:v>
                </c:pt>
                <c:pt idx="4" formatCode="#,##0.00">
                  <c:v>109758.1</c:v>
                </c:pt>
                <c:pt idx="5" formatCode="0.00%">
                  <c:v>0.17724123409768916</c:v>
                </c:pt>
                <c:pt idx="6" formatCode="#,##0.00">
                  <c:v>402493.80000000005</c:v>
                </c:pt>
                <c:pt idx="7" formatCode="0.00%">
                  <c:v>0.64996112203717527</c:v>
                </c:pt>
                <c:pt idx="8" formatCode="#,##0.00">
                  <c:v>216764.46999999997</c:v>
                </c:pt>
                <c:pt idx="9" formatCode="0.00%">
                  <c:v>0.35003887796282473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468544"/>
        <c:axId val="93479680"/>
        <c:axId val="0"/>
      </c:bar3DChart>
      <c:catAx>
        <c:axId val="93468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479680"/>
        <c:crosses val="autoZero"/>
        <c:auto val="1"/>
        <c:lblAlgn val="ctr"/>
        <c:lblOffset val="100"/>
        <c:noMultiLvlLbl val="0"/>
      </c:catAx>
      <c:valAx>
        <c:axId val="934796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46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'EVAL-GAST-CORTE-31-12-14'!$B$47</c:f>
              <c:strCache>
                <c:ptCount val="1"/>
                <c:pt idx="0">
                  <c:v>INGRESOS  CORRIENTES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3.7523452157598612E-3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0093808630394E-2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84848413655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7554721701063164E-3"/>
                  <c:y val="-4.84848413655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046904315196998E-3"/>
                  <c:y val="-3.3566428637713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5046904315196079E-3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5046904315196998E-3"/>
                  <c:y val="-4.1025635001650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2539086929330832E-3"/>
                  <c:y val="-4.1025635001650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'EVAL-GAST-CORTE-31-12-14'!$C$46:$J$46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'EVAL-GAST-CORTE-31-12-14'!$C$47:$J$47</c:f>
              <c:numCache>
                <c:formatCode>#,##0.00</c:formatCode>
                <c:ptCount val="8"/>
                <c:pt idx="0">
                  <c:v>14839191.85</c:v>
                </c:pt>
                <c:pt idx="1">
                  <c:v>100</c:v>
                </c:pt>
                <c:pt idx="2">
                  <c:v>15095365.369999999</c:v>
                </c:pt>
                <c:pt idx="3">
                  <c:v>101.7263306694158</c:v>
                </c:pt>
                <c:pt idx="4">
                  <c:v>523549.06000000041</c:v>
                </c:pt>
                <c:pt idx="5">
                  <c:v>3.5281507597733524</c:v>
                </c:pt>
                <c:pt idx="6">
                  <c:v>779722.58</c:v>
                </c:pt>
                <c:pt idx="7">
                  <c:v>5.2544814291891511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791040"/>
        <c:axId val="82797312"/>
        <c:axId val="0"/>
      </c:bar3DChart>
      <c:catAx>
        <c:axId val="82791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2797312"/>
        <c:crosses val="autoZero"/>
        <c:auto val="1"/>
        <c:lblAlgn val="ctr"/>
        <c:lblOffset val="100"/>
        <c:noMultiLvlLbl val="0"/>
      </c:catAx>
      <c:valAx>
        <c:axId val="827973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8279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'EVAL-GAST-CORTE-31-12-14'!$B$1081</c:f>
              <c:strCache>
                <c:ptCount val="1"/>
                <c:pt idx="0">
                  <c:v>PROGRAMA 1.5.- GESTION DE AUDITORIA INTERNA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3.8266057950103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4555830121600576E-3"/>
                  <c:y val="-2.8699543462577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77915060800288E-3"/>
                  <c:y val="-2.8699543462577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416872591200842E-3"/>
                  <c:y val="-2.152465759693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277915060800288E-3"/>
                  <c:y val="-2.152465759693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416872591200434E-3"/>
                  <c:y val="-2.8699543462577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1684744927123895E-17"/>
                  <c:y val="-2.6307914840695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3416872591200434E-3"/>
                  <c:y val="-4.3049315193865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138957530400144E-3"/>
                  <c:y val="-3.5874429328221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1138957530400144E-3"/>
                  <c:y val="-2.8699543462577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'EVAL-GAST-CORTE-31-12-14'!$C$1080:$L$1080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'EVAL-GAST-CORTE-31-12-14'!$C$1081:$L$1081</c:f>
              <c:numCache>
                <c:formatCode>0%</c:formatCode>
                <c:ptCount val="10"/>
                <c:pt idx="0" formatCode="#,##0.00">
                  <c:v>79555.570000000007</c:v>
                </c:pt>
                <c:pt idx="1">
                  <c:v>1</c:v>
                </c:pt>
                <c:pt idx="2" formatCode="#,##0.00">
                  <c:v>65067.32</c:v>
                </c:pt>
                <c:pt idx="3" formatCode="0.00%">
                  <c:v>0.81788515876386769</c:v>
                </c:pt>
                <c:pt idx="4" formatCode="#,##0.00">
                  <c:v>3369.06</c:v>
                </c:pt>
                <c:pt idx="5" formatCode="0.00%">
                  <c:v>4.2348511864097001E-2</c:v>
                </c:pt>
                <c:pt idx="6" formatCode="#,##0.00">
                  <c:v>68436.38</c:v>
                </c:pt>
                <c:pt idx="7" formatCode="0.00%">
                  <c:v>0.86023367062796485</c:v>
                </c:pt>
                <c:pt idx="8" formatCode="#,##0.00">
                  <c:v>11119.190000000002</c:v>
                </c:pt>
                <c:pt idx="9" formatCode="0.00%">
                  <c:v>0.13976632937203518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511680"/>
        <c:axId val="93518464"/>
        <c:axId val="0"/>
      </c:bar3DChart>
      <c:catAx>
        <c:axId val="93511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518464"/>
        <c:crosses val="autoZero"/>
        <c:auto val="1"/>
        <c:lblAlgn val="ctr"/>
        <c:lblOffset val="100"/>
        <c:noMultiLvlLbl val="0"/>
      </c:catAx>
      <c:valAx>
        <c:axId val="935184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51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'EVAL-GAST-CORTE-31-12-14'!$B$1187</c:f>
              <c:strCache>
                <c:ptCount val="1"/>
                <c:pt idx="0">
                  <c:v>PROGRAMA 1.6.- GESTION DE COMUNICACIÓN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0"/>
                  <c:y val="-5.471955438463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742361380001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5.471955438463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76305247248912E-3"/>
                  <c:y val="-4.377564350770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176305247248912E-3"/>
                  <c:y val="-4.0127673215395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4.742361380001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470522098899565E-3"/>
                  <c:y val="-4.7423613800013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2352610494497825E-3"/>
                  <c:y val="-5.471955438463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176305247248912E-3"/>
                  <c:y val="-6.201549496924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'EVAL-GAST-CORTE-31-12-14'!$C$1186:$K$1186</c:f>
              <c:strCache>
                <c:ptCount val="9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</c:strCache>
            </c:strRef>
          </c:cat>
          <c:val>
            <c:numRef>
              <c:f>'EVAL-GAST-CORTE-31-12-14'!$C$1187:$K$1187</c:f>
              <c:numCache>
                <c:formatCode>0%</c:formatCode>
                <c:ptCount val="9"/>
                <c:pt idx="0" formatCode="#,##0.00">
                  <c:v>647135.67000000004</c:v>
                </c:pt>
                <c:pt idx="1">
                  <c:v>1</c:v>
                </c:pt>
                <c:pt idx="2" formatCode="#,##0.00">
                  <c:v>264644.3</c:v>
                </c:pt>
                <c:pt idx="3" formatCode="0.00%">
                  <c:v>0.40894716868257314</c:v>
                </c:pt>
                <c:pt idx="4" formatCode="#,##0.00">
                  <c:v>285547.36</c:v>
                </c:pt>
                <c:pt idx="5" formatCode="0.00%">
                  <c:v>0.44124806163134228</c:v>
                </c:pt>
                <c:pt idx="6" formatCode="#,##0.00">
                  <c:v>550191.65999999992</c:v>
                </c:pt>
                <c:pt idx="7" formatCode="0.00%">
                  <c:v>0.85019523031391531</c:v>
                </c:pt>
                <c:pt idx="8" formatCode="#,##0.00">
                  <c:v>96944.010000000126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546752"/>
        <c:axId val="93569792"/>
        <c:axId val="0"/>
      </c:bar3DChart>
      <c:catAx>
        <c:axId val="93546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569792"/>
        <c:crosses val="autoZero"/>
        <c:auto val="1"/>
        <c:lblAlgn val="ctr"/>
        <c:lblOffset val="100"/>
        <c:noMultiLvlLbl val="0"/>
      </c:catAx>
      <c:valAx>
        <c:axId val="935697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54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'EVAL-GAST-CORTE-31-12-14'!$B$1293</c:f>
              <c:strCache>
                <c:ptCount val="1"/>
                <c:pt idx="0">
                  <c:v>PROGRAMA 1.7 .- GESTION DE TALENTO HUMANO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4.4630404463040447E-3"/>
                  <c:y val="-3.505476962727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6945606694560665E-3"/>
                  <c:y val="-3.0046945394802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4630404463040447E-3"/>
                  <c:y val="-3.7558681743503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472803347280745E-3"/>
                  <c:y val="-2.503912116233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57601115760112E-3"/>
                  <c:y val="-2.7543033278569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472803347280333E-3"/>
                  <c:y val="-3.7558681743503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4.256650597597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3472803347280333E-3"/>
                  <c:y val="-2.7543033278569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4.5070418092204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1157601115760112E-3"/>
                  <c:y val="-3.2550857511036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'EVAL-GAST-CORTE-31-12-14'!$C$1292:$L$1292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'EVAL-GAST-CORTE-31-12-14'!$C$1293:$L$1293</c:f>
              <c:numCache>
                <c:formatCode>0%</c:formatCode>
                <c:ptCount val="10"/>
                <c:pt idx="0" formatCode="#,##0.00">
                  <c:v>1420091.48</c:v>
                </c:pt>
                <c:pt idx="1">
                  <c:v>1</c:v>
                </c:pt>
                <c:pt idx="2" formatCode="#,##0.00">
                  <c:v>804574.59</c:v>
                </c:pt>
                <c:pt idx="3" formatCode="0.00%">
                  <c:v>0.56656532436910334</c:v>
                </c:pt>
                <c:pt idx="4" formatCode="#,##0.00">
                  <c:v>365732.57</c:v>
                </c:pt>
                <c:pt idx="5" formatCode="0.00%">
                  <c:v>0.25754155640733795</c:v>
                </c:pt>
                <c:pt idx="6" formatCode="#,##0.00">
                  <c:v>1170307.1599999999</c:v>
                </c:pt>
                <c:pt idx="7" formatCode="0.00%">
                  <c:v>0.82410688077644123</c:v>
                </c:pt>
                <c:pt idx="8" formatCode="#,##0.00">
                  <c:v>249784.32000000007</c:v>
                </c:pt>
                <c:pt idx="9" formatCode="0.00%">
                  <c:v>0.1758931192235588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614080"/>
        <c:axId val="93624960"/>
        <c:axId val="0"/>
      </c:bar3DChart>
      <c:catAx>
        <c:axId val="93614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61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'EVAL-GAST-CORTE-31-12-14'!$B$1399:$C$1399</c:f>
              <c:strCache>
                <c:ptCount val="1"/>
                <c:pt idx="0">
                  <c:v>PROGRAMA 1.8.- GESTIÓN DE TECNOLOGIAS DE LA INFORMACIÓN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627871362940277E-3"/>
                  <c:y val="-4.80813614684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255742725880554E-3"/>
                  <c:y val="-4.4382795201649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5.1779927735257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255742725880554E-3"/>
                  <c:y val="-4.4382795201649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209290454313426E-3"/>
                  <c:y val="-5.547849400206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27871362940277E-3"/>
                  <c:y val="-5.547849400206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0627871362939527E-3"/>
                  <c:y val="-5.917706026886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09290454313426E-3"/>
                  <c:y val="-5.547849400206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0627871362940277E-3"/>
                  <c:y val="-5.917706026886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0209290454313426E-3"/>
                  <c:y val="-5.547849400206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'EVAL-GAST-CORTE-31-12-14'!$D$1398:$M$1398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'EVAL-GAST-CORTE-31-12-14'!$D$1399:$M$1399</c:f>
              <c:numCache>
                <c:formatCode>0%</c:formatCode>
                <c:ptCount val="10"/>
                <c:pt idx="0" formatCode="#,##0.00">
                  <c:v>792300.87</c:v>
                </c:pt>
                <c:pt idx="1">
                  <c:v>1</c:v>
                </c:pt>
                <c:pt idx="2" formatCode="#,##0.00">
                  <c:v>409889.81</c:v>
                </c:pt>
                <c:pt idx="3" formatCode="0.00%">
                  <c:v>0.51734110805658962</c:v>
                </c:pt>
                <c:pt idx="4" formatCode="#,##0.00">
                  <c:v>230046.68</c:v>
                </c:pt>
                <c:pt idx="5" formatCode="0.00%">
                  <c:v>0.29035267877466803</c:v>
                </c:pt>
                <c:pt idx="6" formatCode="#,##0.00">
                  <c:v>639936.49</c:v>
                </c:pt>
                <c:pt idx="7" formatCode="0.00%">
                  <c:v>0.8076937868312577</c:v>
                </c:pt>
                <c:pt idx="8" formatCode="#,##0.00">
                  <c:v>152364.38</c:v>
                </c:pt>
                <c:pt idx="9" formatCode="0.00%">
                  <c:v>0.19230621316874233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640576"/>
        <c:axId val="94147328"/>
        <c:axId val="0"/>
      </c:bar3DChart>
      <c:catAx>
        <c:axId val="93640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4147328"/>
        <c:crosses val="autoZero"/>
        <c:auto val="1"/>
        <c:lblAlgn val="ctr"/>
        <c:lblOffset val="100"/>
        <c:noMultiLvlLbl val="0"/>
      </c:catAx>
      <c:valAx>
        <c:axId val="941473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64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'EVAL-GAST-CORTE-31-12-14'!$B$1505</c:f>
              <c:strCache>
                <c:ptCount val="1"/>
                <c:pt idx="0">
                  <c:v>PROGRAMA 1.9.- BALCON DE SERVICIOS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9.9853603200156799E-18"/>
                  <c:y val="-3.7887063048111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252723311546842E-3"/>
                  <c:y val="-2.9143894652393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786492374727671E-3"/>
                  <c:y val="-4.3715841978590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4466230936819175E-3"/>
                  <c:y val="-3.4972673582872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466230936819175E-3"/>
                  <c:y val="-2.9143894652393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4972673582872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786492374728469E-3"/>
                  <c:y val="-4.3715841978590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2679738562090706E-3"/>
                  <c:y val="-3.4972673582872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5359477124183009E-3"/>
                  <c:y val="-4.3715841978590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1786492374727671E-3"/>
                  <c:y val="-3.4972673582872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'EVAL-GAST-CORTE-31-12-14'!$C$1504:$L$1504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'EVAL-GAST-CORTE-31-12-14'!$C$1505:$L$1505</c:f>
              <c:numCache>
                <c:formatCode>0%</c:formatCode>
                <c:ptCount val="10"/>
                <c:pt idx="0" formatCode="#,##0.00">
                  <c:v>30134.58</c:v>
                </c:pt>
                <c:pt idx="1">
                  <c:v>1</c:v>
                </c:pt>
                <c:pt idx="2" formatCode="#,##0.00">
                  <c:v>25099.68</c:v>
                </c:pt>
                <c:pt idx="3" formatCode="0.00%">
                  <c:v>0.83291952301973349</c:v>
                </c:pt>
                <c:pt idx="4" formatCode="#,##0.00">
                  <c:v>0</c:v>
                </c:pt>
                <c:pt idx="5" formatCode="0.00%">
                  <c:v>0</c:v>
                </c:pt>
                <c:pt idx="6" formatCode="#,##0.00">
                  <c:v>25099.68</c:v>
                </c:pt>
                <c:pt idx="7" formatCode="0.00%">
                  <c:v>0.83291952301973349</c:v>
                </c:pt>
                <c:pt idx="8" formatCode="#,##0.00">
                  <c:v>5034.9000000000015</c:v>
                </c:pt>
                <c:pt idx="9" formatCode="0.00%">
                  <c:v>0.16708047698026657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921280"/>
        <c:axId val="93932160"/>
        <c:axId val="0"/>
      </c:bar3DChart>
      <c:catAx>
        <c:axId val="93921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932160"/>
        <c:crosses val="autoZero"/>
        <c:auto val="1"/>
        <c:lblAlgn val="ctr"/>
        <c:lblOffset val="100"/>
        <c:noMultiLvlLbl val="0"/>
      </c:catAx>
      <c:valAx>
        <c:axId val="939321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92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'EVAL-GAST-CORTE-31-12-14'!$B$1611</c:f>
              <c:strCache>
                <c:ptCount val="1"/>
                <c:pt idx="0">
                  <c:v>PROGRAMA 2.1.- GESTIÓN CULTURAL, DEPROTES Y RECREACIÓN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3.0769230769230769E-3"/>
                  <c:y val="-3.1704090715305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025641025641026E-3"/>
                  <c:y val="-4.227212095374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170409071530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4.931747444603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256410256410256E-3"/>
                  <c:y val="-4.5794797699886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256410256410256E-3"/>
                  <c:y val="-4.227212095374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1025641025641026E-3"/>
                  <c:y val="-5.284015119217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1538461538461538E-3"/>
                  <c:y val="-4.931747444603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1025641025641026E-3"/>
                  <c:y val="-4.227212095374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794871794871795E-3"/>
                  <c:y val="-3.170409071530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'EVAL-GAST-CORTE-31-12-14'!$C$1610:$L$1610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'EVAL-GAST-CORTE-31-12-14'!$C$1611:$L$1611</c:f>
              <c:numCache>
                <c:formatCode>0%</c:formatCode>
                <c:ptCount val="10"/>
                <c:pt idx="0" formatCode="#,##0.00">
                  <c:v>985812.69</c:v>
                </c:pt>
                <c:pt idx="1">
                  <c:v>1</c:v>
                </c:pt>
                <c:pt idx="2" formatCode="#,##0.00">
                  <c:v>715433.03</c:v>
                </c:pt>
                <c:pt idx="3" formatCode="0.00%">
                  <c:v>0.72572917477862864</c:v>
                </c:pt>
                <c:pt idx="4" formatCode="#,##0.00">
                  <c:v>124782.67</c:v>
                </c:pt>
                <c:pt idx="5" formatCode="0.00%">
                  <c:v>0.12657847810824996</c:v>
                </c:pt>
                <c:pt idx="6" formatCode="#,##0.00">
                  <c:v>840215.70000000007</c:v>
                </c:pt>
                <c:pt idx="7" formatCode="0.00%">
                  <c:v>0.85230765288687871</c:v>
                </c:pt>
                <c:pt idx="8" formatCode="#,##0.00">
                  <c:v>145596.98999999987</c:v>
                </c:pt>
                <c:pt idx="9" formatCode="0.00%">
                  <c:v>0.14769234711312135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971968"/>
        <c:axId val="94179712"/>
        <c:axId val="0"/>
      </c:bar3DChart>
      <c:catAx>
        <c:axId val="93971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179712"/>
        <c:crosses val="autoZero"/>
        <c:auto val="1"/>
        <c:lblAlgn val="ctr"/>
        <c:lblOffset val="100"/>
        <c:noMultiLvlLbl val="0"/>
      </c:catAx>
      <c:valAx>
        <c:axId val="941797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397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'EVAL-GAST-CORTE-31-12-14'!$B$1716</c:f>
              <c:strCache>
                <c:ptCount val="1"/>
                <c:pt idx="0">
                  <c:v>PROGRAMA 2.2.- GESTIÓN DE TURISMO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3.0840400925212026E-3"/>
                  <c:y val="-4.778971921470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680801850424053E-3"/>
                  <c:y val="-3.504579409078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840400925212026E-3"/>
                  <c:y val="-3.8231775371762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504579409078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867383152882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840400925212026E-3"/>
                  <c:y val="-4.1417756652742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0560267283474686E-3"/>
                  <c:y val="-4.460373793372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80133641737343E-3"/>
                  <c:y val="-4.1417756652742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3.8231775371762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778971921470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'EVAL-GAST-CORTE-31-12-14'!$C$1715:$L$1715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'EVAL-GAST-CORTE-31-12-14'!$C$1716:$L$1716</c:f>
              <c:numCache>
                <c:formatCode>0%</c:formatCode>
                <c:ptCount val="10"/>
                <c:pt idx="0" formatCode="#,##0.00">
                  <c:v>226862.39</c:v>
                </c:pt>
                <c:pt idx="1">
                  <c:v>1</c:v>
                </c:pt>
                <c:pt idx="2" formatCode="#,##0.00">
                  <c:v>58841.120000000003</c:v>
                </c:pt>
                <c:pt idx="3" formatCode="0.00%">
                  <c:v>0.25936921496771675</c:v>
                </c:pt>
                <c:pt idx="4" formatCode="#,##0.00">
                  <c:v>116728.24</c:v>
                </c:pt>
                <c:pt idx="5" formatCode="0.00%">
                  <c:v>0.51453323752782465</c:v>
                </c:pt>
                <c:pt idx="6" formatCode="#,##0.00">
                  <c:v>175569.36000000002</c:v>
                </c:pt>
                <c:pt idx="7" formatCode="0.00%">
                  <c:v>0.77390245249554146</c:v>
                </c:pt>
                <c:pt idx="8" formatCode="#,##0.00">
                  <c:v>51293.03</c:v>
                </c:pt>
                <c:pt idx="9" formatCode="0.00%">
                  <c:v>0.22609754750445851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203264"/>
        <c:axId val="94218496"/>
        <c:axId val="0"/>
      </c:bar3DChart>
      <c:catAx>
        <c:axId val="94203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2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'EVAL-GAST-CORTE-31-12-14'!$B$1822</c:f>
              <c:strCache>
                <c:ptCount val="1"/>
                <c:pt idx="0">
                  <c:v>PROGRAMA 2.4.- GESTIÓN DE DESARROLLO SOCIAL Y HUMANO (Patronato)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0"/>
                  <c:y val="-4.5434681384824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282051282051282E-3"/>
                  <c:y val="-3.1454779420263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8444730402544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769230769230769E-3"/>
                  <c:y val="-4.1939705893684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1454779420263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512820512820513E-3"/>
                  <c:y val="-4.1939705893684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4.1939705893684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56410256410256E-3"/>
                  <c:y val="-3.8444730402544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0512820512820513E-3"/>
                  <c:y val="-5.2424632367105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5434681384824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'EVAL-GAST-CORTE-31-12-14'!$C$1821:$L$1821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'EVAL-GAST-CORTE-31-12-14'!$C$1822:$L$1822</c:f>
              <c:numCache>
                <c:formatCode>0%</c:formatCode>
                <c:ptCount val="10"/>
                <c:pt idx="0" formatCode="#,##0.00">
                  <c:v>1814761.34</c:v>
                </c:pt>
                <c:pt idx="1">
                  <c:v>1</c:v>
                </c:pt>
                <c:pt idx="2" formatCode="#,##0.00">
                  <c:v>939888.09</c:v>
                </c:pt>
                <c:pt idx="3" formatCode="0.00%">
                  <c:v>0.51791277964958182</c:v>
                </c:pt>
                <c:pt idx="4" formatCode="#,##0.00">
                  <c:v>121717.74</c:v>
                </c:pt>
                <c:pt idx="5" formatCode="0.00%">
                  <c:v>6.7070935068519813E-2</c:v>
                </c:pt>
                <c:pt idx="6" formatCode="#,##0.00">
                  <c:v>1061605.83</c:v>
                </c:pt>
                <c:pt idx="7" formatCode="0.00%">
                  <c:v>0.58498371471810173</c:v>
                </c:pt>
                <c:pt idx="8" formatCode="#,##0.00">
                  <c:v>753155.51</c:v>
                </c:pt>
                <c:pt idx="9" formatCode="0.00%">
                  <c:v>0.41501628528189827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009216"/>
        <c:axId val="94024448"/>
        <c:axId val="0"/>
      </c:bar3DChart>
      <c:catAx>
        <c:axId val="94009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24448"/>
        <c:crosses val="autoZero"/>
        <c:auto val="1"/>
        <c:lblAlgn val="ctr"/>
        <c:lblOffset val="100"/>
        <c:noMultiLvlLbl val="0"/>
      </c:catAx>
      <c:valAx>
        <c:axId val="940244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00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'EVAL-GAST-CORTE-31-12-14'!$B$1927</c:f>
              <c:strCache>
                <c:ptCount val="1"/>
                <c:pt idx="0">
                  <c:v>PROGRAMA 3.1.- GESTIÓN DE ORDENAMIENTO TERRITORIAL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3.8591407547142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7013985282999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888030888030888E-3"/>
                  <c:y val="-3.4732266792428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4732266792428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888030888030888E-3"/>
                  <c:y val="-4.6309689056570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888030888030888E-3"/>
                  <c:y val="-3.8591407547142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888030888030888E-3"/>
                  <c:y val="-5.4027970565999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96010296010295E-3"/>
                  <c:y val="-4.2450548301856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4.6309689056570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5.0168829811284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'EVAL-GAST-CORTE-31-12-14'!$C$1926:$L$1926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'EVAL-GAST-CORTE-31-12-14'!$C$1927:$L$1927</c:f>
              <c:numCache>
                <c:formatCode>0%</c:formatCode>
                <c:ptCount val="10"/>
                <c:pt idx="0" formatCode="#,##0.00">
                  <c:v>1785437.83</c:v>
                </c:pt>
                <c:pt idx="1">
                  <c:v>1</c:v>
                </c:pt>
                <c:pt idx="2" formatCode="#,##0.00">
                  <c:v>898190.87</c:v>
                </c:pt>
                <c:pt idx="3" formatCode="0.00%">
                  <c:v>0.50306476927286792</c:v>
                </c:pt>
                <c:pt idx="4" formatCode="#,##0.00">
                  <c:v>421674.93</c:v>
                </c:pt>
                <c:pt idx="5" formatCode="0.00%">
                  <c:v>0.23617452420619989</c:v>
                </c:pt>
                <c:pt idx="6" formatCode="#,##0.00">
                  <c:v>1319865.8</c:v>
                </c:pt>
                <c:pt idx="7" formatCode="0.00%">
                  <c:v>0.7392392934790678</c:v>
                </c:pt>
                <c:pt idx="8" formatCode="#,##0.00">
                  <c:v>465572.03</c:v>
                </c:pt>
                <c:pt idx="9" formatCode="0.00%">
                  <c:v>0.2607607065209322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072832"/>
        <c:axId val="94079616"/>
        <c:axId val="0"/>
      </c:bar3DChart>
      <c:catAx>
        <c:axId val="94072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79616"/>
        <c:crosses val="autoZero"/>
        <c:auto val="1"/>
        <c:lblAlgn val="ctr"/>
        <c:lblOffset val="100"/>
        <c:noMultiLvlLbl val="0"/>
      </c:catAx>
      <c:valAx>
        <c:axId val="940796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07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'EVAL-GAST-CORTE-31-12-14'!$B$2033</c:f>
              <c:strCache>
                <c:ptCount val="1"/>
                <c:pt idx="0">
                  <c:v>PROGRAMA 3. 2 GESTIÓN DE AMBIENTAL, SALUBRIDAD E HIGIENE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-5.442176093391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60267283474686E-3"/>
                  <c:y val="-2.902493916475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280133641737343E-3"/>
                  <c:y val="-5.07936435383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560267283474686E-3"/>
                  <c:y val="-4.3537408747133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9909291351539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560267283474686E-3"/>
                  <c:y val="-3.628117395594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0840400925211272E-3"/>
                  <c:y val="-3.6281173955944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4.3537408747133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0840400925212026E-3"/>
                  <c:y val="-3.9909291351539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1400668208686712E-3"/>
                  <c:y val="-4.7165526142728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'EVAL-GAST-CORTE-31-12-14'!$C$2032:$L$2032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'EVAL-GAST-CORTE-31-12-14'!$C$2033:$L$2033</c:f>
              <c:numCache>
                <c:formatCode>0%</c:formatCode>
                <c:ptCount val="10"/>
                <c:pt idx="0" formatCode="#,##0.00">
                  <c:v>8434289.9100000001</c:v>
                </c:pt>
                <c:pt idx="1">
                  <c:v>1</c:v>
                </c:pt>
                <c:pt idx="2" formatCode="#,##0.00">
                  <c:v>2385469.83</c:v>
                </c:pt>
                <c:pt idx="3" formatCode="0.00%">
                  <c:v>0.28282995432392011</c:v>
                </c:pt>
                <c:pt idx="4" formatCode="#,##0.00">
                  <c:v>5134206.4400000004</c:v>
                </c:pt>
                <c:pt idx="5" formatCode="0.00%">
                  <c:v>0.60873013552838617</c:v>
                </c:pt>
                <c:pt idx="6" formatCode="#,##0.00">
                  <c:v>7519676.2700000005</c:v>
                </c:pt>
                <c:pt idx="7" formatCode="0.00%">
                  <c:v>0.89156008985230628</c:v>
                </c:pt>
                <c:pt idx="8" formatCode="#,##0.00">
                  <c:v>914613.63999999966</c:v>
                </c:pt>
                <c:pt idx="9" formatCode="0.00%">
                  <c:v>0.1084399101476937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570368"/>
        <c:axId val="94597888"/>
        <c:axId val="0"/>
      </c:bar3DChart>
      <c:catAx>
        <c:axId val="9457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597888"/>
        <c:crosses val="autoZero"/>
        <c:auto val="1"/>
        <c:lblAlgn val="ctr"/>
        <c:lblOffset val="100"/>
        <c:noMultiLvlLbl val="0"/>
      </c:catAx>
      <c:valAx>
        <c:axId val="945978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57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'EVAL-GAST-CORTE-31-12-14'!$B$92</c:f>
              <c:strCache>
                <c:ptCount val="1"/>
                <c:pt idx="0">
                  <c:v>IMPUESTOS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3.770028275212064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70028275212064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70028275212064E-3"/>
                  <c:y val="-4.6296296296296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33521834747093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0267043669494187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0267043669494187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0028275212064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31008482563619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'EVAL-GAST-CORTE-31-12-14'!$C$91:$J$91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'EVAL-GAST-CORTE-31-12-14'!$C$92:$J$92</c:f>
              <c:numCache>
                <c:formatCode>#,##0.00</c:formatCode>
                <c:ptCount val="8"/>
                <c:pt idx="0">
                  <c:v>3803346.64</c:v>
                </c:pt>
                <c:pt idx="1">
                  <c:v>100</c:v>
                </c:pt>
                <c:pt idx="2">
                  <c:v>3903844.36</c:v>
                </c:pt>
                <c:pt idx="3">
                  <c:v>102.64234973859757</c:v>
                </c:pt>
                <c:pt idx="4">
                  <c:v>170411.73000000027</c:v>
                </c:pt>
                <c:pt idx="5">
                  <c:v>4.4805731932969497</c:v>
                </c:pt>
                <c:pt idx="6">
                  <c:v>270909.45</c:v>
                </c:pt>
                <c:pt idx="7">
                  <c:v>7.1229229318945269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825216"/>
        <c:axId val="84412288"/>
        <c:axId val="0"/>
      </c:bar3DChart>
      <c:catAx>
        <c:axId val="82825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4412288"/>
        <c:crosses val="autoZero"/>
        <c:auto val="1"/>
        <c:lblAlgn val="ctr"/>
        <c:lblOffset val="100"/>
        <c:noMultiLvlLbl val="0"/>
      </c:catAx>
      <c:valAx>
        <c:axId val="844122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8282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'EVAL-GAST-CORTE-31-12-14'!$B$2138</c:f>
              <c:strCache>
                <c:ptCount val="1"/>
                <c:pt idx="0">
                  <c:v>PROGRAMA 3.3.- GESTIÓN DE MOVILIDAD Y TRANSPORTE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0"/>
                  <c:y val="-3.404254812195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400668208686712E-3"/>
                  <c:y val="-3.0260042775072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840400925212026E-3"/>
                  <c:y val="-3.404254812195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560267283474686E-3"/>
                  <c:y val="-3.404254812195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280133641737343E-3"/>
                  <c:y val="-3.404254812195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404254812195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5386775831606435E-17"/>
                  <c:y val="-3.404254812195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0560267283474686E-3"/>
                  <c:y val="-5.2955074856376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4.5390064162608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0560267283474686E-3"/>
                  <c:y val="-4.5390064162608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'EVAL-GAST-CORTE-31-12-14'!$C$2137:$L$2137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'EVAL-GAST-CORTE-31-12-14'!$C$2138:$L$2138</c:f>
              <c:numCache>
                <c:formatCode>0%</c:formatCode>
                <c:ptCount val="10"/>
                <c:pt idx="0" formatCode="#,##0.00">
                  <c:v>401454.25</c:v>
                </c:pt>
                <c:pt idx="1">
                  <c:v>1</c:v>
                </c:pt>
                <c:pt idx="2" formatCode="#,##0.00">
                  <c:v>114823.22</c:v>
                </c:pt>
                <c:pt idx="3" formatCode="0.00%">
                  <c:v>0.2860181950994416</c:v>
                </c:pt>
                <c:pt idx="4" formatCode="#,##0.00">
                  <c:v>77632.53</c:v>
                </c:pt>
                <c:pt idx="5" formatCode="0.00%">
                  <c:v>0.19337827411218089</c:v>
                </c:pt>
                <c:pt idx="6" formatCode="#,##0.00">
                  <c:v>192455.75</c:v>
                </c:pt>
                <c:pt idx="7" formatCode="0.00%">
                  <c:v>0.47939646921162249</c:v>
                </c:pt>
                <c:pt idx="8" formatCode="#,##0.00">
                  <c:v>208998.5</c:v>
                </c:pt>
                <c:pt idx="9" formatCode="0.00%">
                  <c:v>0.52060353078837751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625792"/>
        <c:axId val="94632576"/>
        <c:axId val="0"/>
      </c:bar3DChart>
      <c:catAx>
        <c:axId val="94625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632576"/>
        <c:crosses val="autoZero"/>
        <c:auto val="1"/>
        <c:lblAlgn val="ctr"/>
        <c:lblOffset val="100"/>
        <c:noMultiLvlLbl val="0"/>
      </c:catAx>
      <c:valAx>
        <c:axId val="946325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62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'EVAL-GAST-CORTE-31-12-14'!$B$2243</c:f>
              <c:strCache>
                <c:ptCount val="1"/>
                <c:pt idx="0">
                  <c:v>PROGRAMA 3.4.- GESTIÓN DE SERVICIOS MUNICIPALES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0"/>
                  <c:y val="-3.532008338877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120534566949371E-3"/>
                  <c:y val="-2.8256066711016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840400925212026E-3"/>
                  <c:y val="-5.2980125083155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280133641737343E-3"/>
                  <c:y val="-4.238410006652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560267283474686E-3"/>
                  <c:y val="-4.238410006652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280133641737343E-3"/>
                  <c:y val="-4.238410006652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4.5916108405401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280133641737343E-3"/>
                  <c:y val="-6.3576150099786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0560267283474686E-3"/>
                  <c:y val="-3.8852091727647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1680801850424053E-3"/>
                  <c:y val="-4.9448116744278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'EVAL-GAST-CORTE-31-12-14'!$C$2242:$L$2242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'EVAL-GAST-CORTE-31-12-14'!$C$2243:$L$2243</c:f>
              <c:numCache>
                <c:formatCode>0%</c:formatCode>
                <c:ptCount val="10"/>
                <c:pt idx="0" formatCode="#,##0.00">
                  <c:v>1801929.03</c:v>
                </c:pt>
                <c:pt idx="1">
                  <c:v>1</c:v>
                </c:pt>
                <c:pt idx="2" formatCode="#,##0.00">
                  <c:v>593966.61</c:v>
                </c:pt>
                <c:pt idx="3" formatCode="0.00%">
                  <c:v>0.32962819295940859</c:v>
                </c:pt>
                <c:pt idx="4" formatCode="#,##0.00">
                  <c:v>375883.36</c:v>
                </c:pt>
                <c:pt idx="5" formatCode="0.00%">
                  <c:v>0.2086005351720206</c:v>
                </c:pt>
                <c:pt idx="6" formatCode="#,##0.00">
                  <c:v>969849.97</c:v>
                </c:pt>
                <c:pt idx="7" formatCode="0.00%">
                  <c:v>0.53822872813142919</c:v>
                </c:pt>
                <c:pt idx="8" formatCode="#,##0.00">
                  <c:v>832079.06</c:v>
                </c:pt>
                <c:pt idx="9" formatCode="0.00%">
                  <c:v>0.46177127186857081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656384"/>
        <c:axId val="94716672"/>
        <c:axId val="0"/>
      </c:bar3DChart>
      <c:catAx>
        <c:axId val="94656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716672"/>
        <c:crosses val="autoZero"/>
        <c:auto val="1"/>
        <c:lblAlgn val="ctr"/>
        <c:lblOffset val="100"/>
        <c:noMultiLvlLbl val="0"/>
      </c:catAx>
      <c:valAx>
        <c:axId val="947166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65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'EVAL-GAST-CORTE-31-12-14'!$B$2348</c:f>
              <c:strCache>
                <c:ptCount val="1"/>
                <c:pt idx="0">
                  <c:v>PROGRAMA 3. 5.- GESTIÓN DE PLANIFICACIÓN Y PROYECTOS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"/>
                  <c:y val="-5.1206294373231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726734865221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544427324088342E-3"/>
                  <c:y val="-5.9084185815267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816640986132513E-3"/>
                  <c:y val="-3.5450511489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4.726734865221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938945721017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5328696651458818E-17"/>
                  <c:y val="-5.1206294373231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72213662044171E-3"/>
                  <c:y val="-3.5450511489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0544427324088342E-3"/>
                  <c:y val="-4.3328402931195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0816640986132513E-3"/>
                  <c:y val="-5.514524009424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'EVAL-GAST-CORTE-31-12-14'!$C$2347:$L$2347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'EVAL-GAST-CORTE-31-12-14'!$C$2348:$L$2348</c:f>
              <c:numCache>
                <c:formatCode>0%</c:formatCode>
                <c:ptCount val="10"/>
                <c:pt idx="0" formatCode="#,##0.00">
                  <c:v>654055.75</c:v>
                </c:pt>
                <c:pt idx="1">
                  <c:v>1</c:v>
                </c:pt>
                <c:pt idx="2" formatCode="#,##0.00">
                  <c:v>315469.89</c:v>
                </c:pt>
                <c:pt idx="3" formatCode="0.00%">
                  <c:v>0.48232874644095708</c:v>
                </c:pt>
                <c:pt idx="4" formatCode="#,##0.00">
                  <c:v>84061.04</c:v>
                </c:pt>
                <c:pt idx="5" formatCode="0.00%">
                  <c:v>0.12852274442966061</c:v>
                </c:pt>
                <c:pt idx="6" formatCode="#,##0.00">
                  <c:v>399530.93</c:v>
                </c:pt>
                <c:pt idx="7" formatCode="0.00%">
                  <c:v>0.61085149087061763</c:v>
                </c:pt>
                <c:pt idx="8" formatCode="#,##0.00">
                  <c:v>254524.82</c:v>
                </c:pt>
                <c:pt idx="9" formatCode="0.00%">
                  <c:v>0.38914850912938231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732288"/>
        <c:axId val="94739072"/>
        <c:axId val="0"/>
      </c:bar3DChart>
      <c:catAx>
        <c:axId val="94732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739072"/>
        <c:crosses val="autoZero"/>
        <c:auto val="1"/>
        <c:lblAlgn val="ctr"/>
        <c:lblOffset val="100"/>
        <c:noMultiLvlLbl val="0"/>
      </c:catAx>
      <c:valAx>
        <c:axId val="947390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73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'EVAL-GAST-CORTE-31-12-14'!$B$2453</c:f>
              <c:strCache>
                <c:ptCount val="1"/>
                <c:pt idx="0">
                  <c:v>PROGRAMA 3.6.- GESTIÓN DE OBRAS PÚBLICAS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"/>
                  <c:y val="-4.812029315488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4110268725314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538461538461538E-3"/>
                  <c:y val="-5.2130317584462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512820512820513E-3"/>
                  <c:y val="-3.609021986616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256410256410256E-3"/>
                  <c:y val="-5.6140342014036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512820512820513E-3"/>
                  <c:y val="-4.0100244295740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521280634891811E-17"/>
                  <c:y val="-4.8120293154888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5.2130317584462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4.4110268725314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8120293154888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'EVAL-GAST-CORTE-31-12-14'!$C$2452:$L$2452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'EVAL-GAST-CORTE-31-12-14'!$C$2453:$L$2453</c:f>
              <c:numCache>
                <c:formatCode>0%</c:formatCode>
                <c:ptCount val="10"/>
                <c:pt idx="0" formatCode="#,##0.00">
                  <c:v>33528324.52</c:v>
                </c:pt>
                <c:pt idx="1">
                  <c:v>1</c:v>
                </c:pt>
                <c:pt idx="2" formatCode="#,##0.00">
                  <c:v>10925418.68</c:v>
                </c:pt>
                <c:pt idx="3" formatCode="0.00%">
                  <c:v>0.3258563866942672</c:v>
                </c:pt>
                <c:pt idx="4" formatCode="#,##0.00">
                  <c:v>14981449.76</c:v>
                </c:pt>
                <c:pt idx="5" formatCode="0.00%">
                  <c:v>0.44682965744570408</c:v>
                </c:pt>
                <c:pt idx="6" formatCode="#,##0.00">
                  <c:v>25906868.439999998</c:v>
                </c:pt>
                <c:pt idx="7" formatCode="0.00%">
                  <c:v>0.77268604413997122</c:v>
                </c:pt>
                <c:pt idx="8" formatCode="#,##0.00">
                  <c:v>7621456.0800000019</c:v>
                </c:pt>
                <c:pt idx="9" formatCode="0.00%">
                  <c:v>0.22731395586002881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857088"/>
        <c:axId val="94864128"/>
        <c:axId val="0"/>
      </c:bar3DChart>
      <c:catAx>
        <c:axId val="9485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864128"/>
        <c:crosses val="autoZero"/>
        <c:auto val="1"/>
        <c:lblAlgn val="ctr"/>
        <c:lblOffset val="100"/>
        <c:noMultiLvlLbl val="0"/>
      </c:catAx>
      <c:valAx>
        <c:axId val="948641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85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'EVAL-GAST-CORTE-31-12-14'!$B$2559</c:f>
              <c:strCache>
                <c:ptCount val="1"/>
                <c:pt idx="0">
                  <c:v>PROGRAMA 3.7.- REGISTRO DE LA PROPIEDAD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0"/>
                  <c:y val="-4.6407847114393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481310803891449E-3"/>
                  <c:y val="-3.5698343934148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721966205837174E-3"/>
                  <c:y val="-4.28380127209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203277009728623E-3"/>
                  <c:y val="-4.28380127209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481310803891449E-3"/>
                  <c:y val="-3.9268178327563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240655401945725E-3"/>
                  <c:y val="-4.28380127209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5.35475159012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4.28380127209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5.354751590122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28380127209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'EVAL-GAST-CORTE-31-12-14'!$C$2558:$L$2558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'EVAL-GAST-CORTE-31-12-14'!$C$2559:$L$2559</c:f>
              <c:numCache>
                <c:formatCode>0%</c:formatCode>
                <c:ptCount val="10"/>
                <c:pt idx="0" formatCode="#,##0.00">
                  <c:v>2923745.38</c:v>
                </c:pt>
                <c:pt idx="1">
                  <c:v>1</c:v>
                </c:pt>
                <c:pt idx="2" formatCode="#,##0.00">
                  <c:v>449353.59</c:v>
                </c:pt>
                <c:pt idx="3" formatCode="0.00%">
                  <c:v>0.15369108167688666</c:v>
                </c:pt>
                <c:pt idx="4" formatCode="#,##0.00">
                  <c:v>2118932.9500000002</c:v>
                </c:pt>
                <c:pt idx="5" formatCode="0.00%">
                  <c:v>0.72473238076566038</c:v>
                </c:pt>
                <c:pt idx="6" formatCode="#,##0.00">
                  <c:v>2568286.54</c:v>
                </c:pt>
                <c:pt idx="7" formatCode="0.00%">
                  <c:v>0.87842346244254699</c:v>
                </c:pt>
                <c:pt idx="8" formatCode="#,##0.00">
                  <c:v>355458.83999999985</c:v>
                </c:pt>
                <c:pt idx="9" formatCode="0.00%">
                  <c:v>0.12157653755745305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898048"/>
        <c:axId val="94913280"/>
        <c:axId val="0"/>
      </c:bar3DChart>
      <c:catAx>
        <c:axId val="94898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913280"/>
        <c:crosses val="autoZero"/>
        <c:auto val="1"/>
        <c:lblAlgn val="ctr"/>
        <c:lblOffset val="100"/>
        <c:noMultiLvlLbl val="0"/>
      </c:catAx>
      <c:valAx>
        <c:axId val="949132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89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'EVAL-GAST-CORTE-31-12-14'!$B$2665</c:f>
              <c:strCache>
                <c:ptCount val="1"/>
                <c:pt idx="0">
                  <c:v>PROGRAMA 3.9.- GESTIÓN DE PATRIMONIO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1.0248526774276198E-3"/>
                  <c:y val="-4.4755225040372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248526774276198E-3"/>
                  <c:y val="-4.4755225040372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3566418780279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248526774276198E-3"/>
                  <c:y val="-2.610721460688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4.4755225040372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745580322828594E-3"/>
                  <c:y val="-5.221442921376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5154994814445456E-17"/>
                  <c:y val="-4.4755225040372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248526774276198E-3"/>
                  <c:y val="-4.1025622953674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0745580322828594E-3"/>
                  <c:y val="-5.594403130046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0248526774276198E-3"/>
                  <c:y val="-5.594403130046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'EVAL-GAST-CORTE-31-12-14'!$C$2664:$L$2664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'EVAL-GAST-CORTE-31-12-14'!$C$2665:$L$2665</c:f>
              <c:numCache>
                <c:formatCode>0%</c:formatCode>
                <c:ptCount val="10"/>
                <c:pt idx="0" formatCode="#,##0.00">
                  <c:v>198561.56</c:v>
                </c:pt>
                <c:pt idx="1">
                  <c:v>1</c:v>
                </c:pt>
                <c:pt idx="2" formatCode="#,##0.00">
                  <c:v>26628.35</c:v>
                </c:pt>
                <c:pt idx="3" formatCode="0.00%">
                  <c:v>0.13410626910868348</c:v>
                </c:pt>
                <c:pt idx="4" formatCode="#,##0.00">
                  <c:v>131707.79</c:v>
                </c:pt>
                <c:pt idx="5" formatCode="0.00%">
                  <c:v>0.66330960534355199</c:v>
                </c:pt>
                <c:pt idx="6" formatCode="#,##0.00">
                  <c:v>158336.14000000001</c:v>
                </c:pt>
                <c:pt idx="7" formatCode="0.00%">
                  <c:v>0.7974158744522355</c:v>
                </c:pt>
                <c:pt idx="8" formatCode="#,##0.00">
                  <c:v>40225.419999999984</c:v>
                </c:pt>
                <c:pt idx="9" formatCode="0.00%">
                  <c:v>0.20258412554776456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950528"/>
        <c:axId val="94969856"/>
        <c:axId val="0"/>
      </c:bar3DChart>
      <c:catAx>
        <c:axId val="94950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969856"/>
        <c:crosses val="autoZero"/>
        <c:auto val="1"/>
        <c:lblAlgn val="ctr"/>
        <c:lblOffset val="100"/>
        <c:noMultiLvlLbl val="0"/>
      </c:catAx>
      <c:valAx>
        <c:axId val="949698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95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'EVAL-GAST-CORTE-31-12-14'!$B$2771</c:f>
              <c:strCache>
                <c:ptCount val="1"/>
                <c:pt idx="0">
                  <c:v>PROGRAMA 5.1.- GASTOS COMUNES DE LA ENTIDAD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4.295301408120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481310803891449E-3"/>
                  <c:y val="-5.3691267601505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962621607782898E-3"/>
                  <c:y val="-5.0111849761405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5.3691267601505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0962621607782898E-3"/>
                  <c:y val="-3.937359624110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0962621607782898E-3"/>
                  <c:y val="-3.937359624110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1925243215565796E-3"/>
                  <c:y val="-4.6532431921304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3.937359624110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4.295301408120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0721966205837174E-3"/>
                  <c:y val="-3.5794178401003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'EVAL-GAST-CORTE-31-12-14'!$C$2770:$L$2770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'EVAL-GAST-CORTE-31-12-14'!$C$2771:$L$2771</c:f>
              <c:numCache>
                <c:formatCode>0%</c:formatCode>
                <c:ptCount val="10"/>
                <c:pt idx="0" formatCode="#,##0.00">
                  <c:v>6371165.6699999999</c:v>
                </c:pt>
                <c:pt idx="1">
                  <c:v>1</c:v>
                </c:pt>
                <c:pt idx="2" formatCode="#,##0.00">
                  <c:v>2017917.1</c:v>
                </c:pt>
                <c:pt idx="3" formatCode="0.00%">
                  <c:v>0.31672651513392525</c:v>
                </c:pt>
                <c:pt idx="4" formatCode="#,##0.00">
                  <c:v>303301.39</c:v>
                </c:pt>
                <c:pt idx="5" formatCode="0.00%">
                  <c:v>4.7605321492134423E-2</c:v>
                </c:pt>
                <c:pt idx="6" formatCode="#,##0.00">
                  <c:v>2321218.4900000002</c:v>
                </c:pt>
                <c:pt idx="7" formatCode="0.00%">
                  <c:v>0.36433183662605972</c:v>
                </c:pt>
                <c:pt idx="8" formatCode="#,##0.00">
                  <c:v>4049947.1799999997</c:v>
                </c:pt>
                <c:pt idx="9" formatCode="0.00%">
                  <c:v>0.63566816337394028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993792"/>
        <c:axId val="95009024"/>
        <c:axId val="0"/>
      </c:bar3DChart>
      <c:catAx>
        <c:axId val="94993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5009024"/>
        <c:crosses val="autoZero"/>
        <c:auto val="1"/>
        <c:lblAlgn val="ctr"/>
        <c:lblOffset val="100"/>
        <c:noMultiLvlLbl val="0"/>
      </c:catAx>
      <c:valAx>
        <c:axId val="950090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499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'EVAL-GAST-CORTE-31-12-14'!$B$2877</c:f>
              <c:strCache>
                <c:ptCount val="1"/>
                <c:pt idx="0">
                  <c:v>PROGRAMA 5. 2.- SERVICIO DE LA DEUDA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0"/>
                  <c:y val="-3.995005718572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98388334612432E-3"/>
                  <c:y val="-3.6620885753584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6608400050016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465592223074956E-3"/>
                  <c:y val="-3.329171432144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96776669224865E-3"/>
                  <c:y val="-3.6620885753584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98388334612432E-3"/>
                  <c:y val="-2.663337145715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3.995005718572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996254288929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0698388334612432E-3"/>
                  <c:y val="-2.996254288929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629572780762341E-3"/>
                  <c:y val="-3.6620885753584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'EVAL-GAST-CORTE-31-12-14'!$C$2876:$L$2876</c:f>
              <c:strCache>
                <c:ptCount val="10"/>
                <c:pt idx="0">
                  <c:v>VALOR PRESUPUESTADO</c:v>
                </c:pt>
                <c:pt idx="1">
                  <c:v>% PRESUPUESTO</c:v>
                </c:pt>
                <c:pt idx="2">
                  <c:v>VALOR GASTADO</c:v>
                </c:pt>
                <c:pt idx="3">
                  <c:v>% GASTADO</c:v>
                </c:pt>
                <c:pt idx="4">
                  <c:v>VALOR COMPROMETIDO</c:v>
                </c:pt>
                <c:pt idx="5">
                  <c:v>% DEL COMPROMETIDO</c:v>
                </c:pt>
                <c:pt idx="6">
                  <c:v>TOTAL GASTADO Y COMPROMETIDO</c:v>
                </c:pt>
                <c:pt idx="7">
                  <c:v>%   GASTADO Y COMPROMETIDO</c:v>
                </c:pt>
                <c:pt idx="8">
                  <c:v>SALDO</c:v>
                </c:pt>
                <c:pt idx="9">
                  <c:v>% DEL SALDO</c:v>
                </c:pt>
              </c:strCache>
            </c:strRef>
          </c:cat>
          <c:val>
            <c:numRef>
              <c:f>'EVAL-GAST-CORTE-31-12-14'!$C$2877:$L$2877</c:f>
              <c:numCache>
                <c:formatCode>0%</c:formatCode>
                <c:ptCount val="10"/>
                <c:pt idx="0" formatCode="#,##0.00">
                  <c:v>1604354.48</c:v>
                </c:pt>
                <c:pt idx="1">
                  <c:v>1</c:v>
                </c:pt>
                <c:pt idx="2" formatCode="#,##0.00">
                  <c:v>1595193.68</c:v>
                </c:pt>
                <c:pt idx="3" formatCode="0.00%">
                  <c:v>0.99429003994179632</c:v>
                </c:pt>
                <c:pt idx="4" formatCode="#,##0.00">
                  <c:v>0</c:v>
                </c:pt>
                <c:pt idx="5" formatCode="0.00%">
                  <c:v>0</c:v>
                </c:pt>
                <c:pt idx="6" formatCode="#,##0.00">
                  <c:v>1595193.68</c:v>
                </c:pt>
                <c:pt idx="7" formatCode="0.00%">
                  <c:v>0.99429003994179632</c:v>
                </c:pt>
                <c:pt idx="8" formatCode="#,##0.00">
                  <c:v>9160.8000000000466</c:v>
                </c:pt>
                <c:pt idx="9" formatCode="0.00%">
                  <c:v>5.7099600582036251E-3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5065600"/>
        <c:axId val="95072640"/>
        <c:axId val="0"/>
      </c:bar3DChart>
      <c:catAx>
        <c:axId val="95065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5072640"/>
        <c:crosses val="autoZero"/>
        <c:auto val="1"/>
        <c:lblAlgn val="ctr"/>
        <c:lblOffset val="100"/>
        <c:noMultiLvlLbl val="0"/>
      </c:catAx>
      <c:valAx>
        <c:axId val="950726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506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'EVAL-GAST-CORTE-31-12-14'!$B$135</c:f>
              <c:strCache>
                <c:ptCount val="1"/>
                <c:pt idx="0">
                  <c:v>TASAS Y CONTRIBUCIONES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3.7313432835820895E-3"/>
                  <c:y val="-2.9836825455745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7064676616915426E-3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313432835820895E-3"/>
                  <c:y val="-3.3566428637713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9502487562189053E-3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313432835820895E-3"/>
                  <c:y val="-3.3566428637713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92537313432845E-2"/>
                  <c:y val="-4.1025635001650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9502487562189053E-3"/>
                  <c:y val="-3.3566428637713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194029850746268E-2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'EVAL-GAST-CORTE-31-12-14'!$C$134:$J$134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'EVAL-GAST-CORTE-31-12-14'!$C$135:$J$135</c:f>
              <c:numCache>
                <c:formatCode>#,##0.00</c:formatCode>
                <c:ptCount val="8"/>
                <c:pt idx="0">
                  <c:v>2873165.95</c:v>
                </c:pt>
                <c:pt idx="1">
                  <c:v>100</c:v>
                </c:pt>
                <c:pt idx="2">
                  <c:v>2792974.74</c:v>
                </c:pt>
                <c:pt idx="3">
                  <c:v>97.208960032399091</c:v>
                </c:pt>
                <c:pt idx="4">
                  <c:v>152158.19999999995</c:v>
                </c:pt>
                <c:pt idx="5">
                  <c:v>5.2958375063577501</c:v>
                </c:pt>
                <c:pt idx="6">
                  <c:v>71966.990000000005</c:v>
                </c:pt>
                <c:pt idx="7">
                  <c:v>2.5047975387568546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4427904"/>
        <c:axId val="84454400"/>
        <c:axId val="0"/>
      </c:bar3DChart>
      <c:catAx>
        <c:axId val="84427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4454400"/>
        <c:crosses val="autoZero"/>
        <c:auto val="1"/>
        <c:lblAlgn val="ctr"/>
        <c:lblOffset val="100"/>
        <c:noMultiLvlLbl val="0"/>
      </c:catAx>
      <c:valAx>
        <c:axId val="844544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8442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'EVAL-GAST-CORTE-31-12-14'!$B$180</c:f>
              <c:strCache>
                <c:ptCount val="1"/>
                <c:pt idx="0">
                  <c:v>VENTA DE BIENES Y SERVICIOS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2496094970321774E-3"/>
                  <c:y val="-3.7296031819682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9984379881287096E-3"/>
                  <c:y val="-4.1025635001650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480474851608877E-3"/>
                  <c:y val="-5.9673650911491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488284910965324E-3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480474851608877E-3"/>
                  <c:y val="-4.84848413655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4976569821929729E-3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4976569821930648E-3"/>
                  <c:y val="-2.610722227377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96094970321775E-2"/>
                  <c:y val="-4.84848413655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'EVAL-GAST-CORTE-31-12-14'!$C$179:$J$179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'EVAL-GAST-CORTE-31-12-14'!$C$180:$J$180</c:f>
              <c:numCache>
                <c:formatCode>#,##0.00</c:formatCode>
                <c:ptCount val="8"/>
                <c:pt idx="0">
                  <c:v>2319533.1</c:v>
                </c:pt>
                <c:pt idx="1">
                  <c:v>100</c:v>
                </c:pt>
                <c:pt idx="2">
                  <c:v>2295316.8199999998</c:v>
                </c:pt>
                <c:pt idx="3">
                  <c:v>98.955984719510994</c:v>
                </c:pt>
                <c:pt idx="4">
                  <c:v>180764.00000000026</c:v>
                </c:pt>
                <c:pt idx="5">
                  <c:v>7.7931200895559654</c:v>
                </c:pt>
                <c:pt idx="6">
                  <c:v>156547.72</c:v>
                </c:pt>
                <c:pt idx="7">
                  <c:v>6.7491048090669628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5553152"/>
        <c:axId val="85559168"/>
        <c:axId val="0"/>
      </c:bar3DChart>
      <c:catAx>
        <c:axId val="8555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5559168"/>
        <c:crosses val="autoZero"/>
        <c:auto val="1"/>
        <c:lblAlgn val="ctr"/>
        <c:lblOffset val="100"/>
        <c:noMultiLvlLbl val="0"/>
      </c:catAx>
      <c:valAx>
        <c:axId val="855591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8555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'EVAL-GAST-CORTE-31-12-14'!$B$223</c:f>
              <c:strCache>
                <c:ptCount val="1"/>
                <c:pt idx="0">
                  <c:v>RENTAS DE INVERSIONES Y MULTAS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3.3472798446018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006253908692933E-2"/>
                  <c:y val="-5.9507197237366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06253908692933E-2"/>
                  <c:y val="-2.6034398791347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5046904315196998E-3"/>
                  <c:y val="-3.7191998273354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046904315196998E-3"/>
                  <c:y val="-3.3472798446018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507817385866166E-3"/>
                  <c:y val="-4.834959775536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0031269543464665E-3"/>
                  <c:y val="-4.0911198100689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7554721701063164E-3"/>
                  <c:y val="-3.7191998273354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'EVAL-GAST-CORTE-31-12-14'!$C$222:$J$222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'EVAL-GAST-CORTE-31-12-14'!$C$223:$J$223</c:f>
              <c:numCache>
                <c:formatCode>#,##0.00</c:formatCode>
                <c:ptCount val="8"/>
                <c:pt idx="0">
                  <c:v>1175120.77</c:v>
                </c:pt>
                <c:pt idx="1">
                  <c:v>100</c:v>
                </c:pt>
                <c:pt idx="2">
                  <c:v>1435204.06</c:v>
                </c:pt>
                <c:pt idx="3">
                  <c:v>122.13247324357989</c:v>
                </c:pt>
                <c:pt idx="4">
                  <c:v>20215.129999999946</c:v>
                </c:pt>
                <c:pt idx="5">
                  <c:v>1.7202597823200714</c:v>
                </c:pt>
                <c:pt idx="6">
                  <c:v>280298.42</c:v>
                </c:pt>
                <c:pt idx="7">
                  <c:v>23.852733025899969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2939776"/>
        <c:axId val="92945792"/>
        <c:axId val="0"/>
      </c:bar3DChart>
      <c:catAx>
        <c:axId val="92939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2945792"/>
        <c:crosses val="autoZero"/>
        <c:auto val="1"/>
        <c:lblAlgn val="ctr"/>
        <c:lblOffset val="100"/>
        <c:noMultiLvlLbl val="0"/>
      </c:catAx>
      <c:valAx>
        <c:axId val="929457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293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'EVAL-GAST-CORTE-31-12-14'!$B$267</c:f>
              <c:strCache>
                <c:ptCount val="1"/>
                <c:pt idx="0">
                  <c:v>TRANSFERENCIAS Y DONACIONES CORRIENTES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2.5062656641604009E-3"/>
                  <c:y val="-4.5261662302856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656641604010022E-3"/>
                  <c:y val="-4.5261662302856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531328320802004E-3"/>
                  <c:y val="-4.5261662302856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771929824561403E-3"/>
                  <c:y val="-4.903346749476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0125313283208017E-3"/>
                  <c:y val="-4.903346749476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025062656641603E-2"/>
                  <c:y val="-4.1489857110951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278195488721804E-2"/>
                  <c:y val="-4.5261662302856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531328320802004E-2"/>
                  <c:y val="-4.903346749476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'EVAL-GAST-CORTE-31-12-14'!$C$266:$J$266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'EVAL-GAST-CORTE-31-12-14'!$C$267:$J$267</c:f>
              <c:numCache>
                <c:formatCode>#,##0.00</c:formatCode>
                <c:ptCount val="8"/>
                <c:pt idx="0">
                  <c:v>4668025.3899999997</c:v>
                </c:pt>
                <c:pt idx="1">
                  <c:v>100</c:v>
                </c:pt>
                <c:pt idx="2">
                  <c:v>4668025.3899999997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5532672"/>
        <c:axId val="92985984"/>
        <c:axId val="0"/>
      </c:bar3DChart>
      <c:catAx>
        <c:axId val="85532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985984"/>
        <c:crosses val="autoZero"/>
        <c:auto val="1"/>
        <c:lblAlgn val="ctr"/>
        <c:lblOffset val="100"/>
        <c:noMultiLvlLbl val="0"/>
      </c:catAx>
      <c:valAx>
        <c:axId val="929859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8553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'EVAL-GAST-CORTE-31-12-14'!$B$311</c:f>
              <c:strCache>
                <c:ptCount val="1"/>
                <c:pt idx="0">
                  <c:v>INGRESOS DE CAPITAL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3.7383177570093459E-3"/>
                  <c:y val="-4.4755238183618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766355140186919E-3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4755238183618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383177570093459E-3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227414330218068E-3"/>
                  <c:y val="-3.7296031819682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214953271028037E-2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9844236760125523E-3"/>
                  <c:y val="-4.84848413655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7383177570093459E-3"/>
                  <c:y val="-4.475523818361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'EVAL-GAST-CORTE-31-12-14'!$C$310:$J$310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'EVAL-GAST-CORTE-31-12-14'!$C$311:$J$311</c:f>
              <c:numCache>
                <c:formatCode>#,##0.00</c:formatCode>
                <c:ptCount val="8"/>
                <c:pt idx="0">
                  <c:v>20331643.530000001</c:v>
                </c:pt>
                <c:pt idx="1">
                  <c:v>100</c:v>
                </c:pt>
                <c:pt idx="2">
                  <c:v>18396705.870000001</c:v>
                </c:pt>
                <c:pt idx="3">
                  <c:v>90.483122246635219</c:v>
                </c:pt>
                <c:pt idx="4">
                  <c:v>2016684.2200000002</c:v>
                </c:pt>
                <c:pt idx="5">
                  <c:v>9.9189434293608247</c:v>
                </c:pt>
                <c:pt idx="6">
                  <c:v>81746.559999999998</c:v>
                </c:pt>
                <c:pt idx="7">
                  <c:v>0.40206567599604182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2829568"/>
        <c:axId val="92835840"/>
        <c:axId val="0"/>
      </c:bar3DChart>
      <c:catAx>
        <c:axId val="92829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835840"/>
        <c:crosses val="autoZero"/>
        <c:auto val="1"/>
        <c:lblAlgn val="ctr"/>
        <c:lblOffset val="100"/>
        <c:noMultiLvlLbl val="0"/>
      </c:catAx>
      <c:valAx>
        <c:axId val="928358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282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'EVAL-GAST-CORTE-31-12-14'!$B$355</c:f>
              <c:strCache>
                <c:ptCount val="1"/>
                <c:pt idx="0">
                  <c:v>VENTA DE ACTIVOS DE LARGA DURACIÓN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1.1454621398031109E-17"/>
                  <c:y val="-3.974167286782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976569821930648E-3"/>
                  <c:y val="-5.1664174728176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480474851608877E-3"/>
                  <c:y val="-2.7819171007479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4.3715840154610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496094970321775E-2"/>
                  <c:y val="-5.1664174728176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9968759762573273E-3"/>
                  <c:y val="-4.7690007441393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488284910965324E-3"/>
                  <c:y val="-5.1664174728176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9984379881287096E-3"/>
                  <c:y val="-5.9612509301741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'EVAL-GAST-CORTE-31-12-14'!$C$354:$J$354</c:f>
              <c:strCache>
                <c:ptCount val="8"/>
                <c:pt idx="0">
                  <c:v>V/PRESUPUESTO</c:v>
                </c:pt>
                <c:pt idx="1">
                  <c:v>% PRESUPUESTO</c:v>
                </c:pt>
                <c:pt idx="2">
                  <c:v>V/RECAUDADO</c:v>
                </c:pt>
                <c:pt idx="3">
                  <c:v>% RECAUDADO</c:v>
                </c:pt>
                <c:pt idx="4">
                  <c:v>SALDO</c:v>
                </c:pt>
                <c:pt idx="5">
                  <c:v>% SALDO</c:v>
                </c:pt>
                <c:pt idx="6">
                  <c:v>SUPERAVIT</c:v>
                </c:pt>
                <c:pt idx="7">
                  <c:v>% SUPERAVIT</c:v>
                </c:pt>
              </c:strCache>
            </c:strRef>
          </c:cat>
          <c:val>
            <c:numRef>
              <c:f>'EVAL-GAST-CORTE-31-12-14'!$C$355:$J$355</c:f>
              <c:numCache>
                <c:formatCode>#,##0.00</c:formatCode>
                <c:ptCount val="8"/>
                <c:pt idx="0">
                  <c:v>135210</c:v>
                </c:pt>
                <c:pt idx="1">
                  <c:v>100</c:v>
                </c:pt>
                <c:pt idx="2">
                  <c:v>132604.99</c:v>
                </c:pt>
                <c:pt idx="3">
                  <c:v>98.073359958582941</c:v>
                </c:pt>
                <c:pt idx="4">
                  <c:v>13059.87000000001</c:v>
                </c:pt>
                <c:pt idx="5">
                  <c:v>9.6589527401819453</c:v>
                </c:pt>
                <c:pt idx="6">
                  <c:v>10454.86</c:v>
                </c:pt>
                <c:pt idx="7">
                  <c:v>7.7323126987648845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2859008"/>
        <c:axId val="92898048"/>
        <c:axId val="0"/>
      </c:bar3DChart>
      <c:catAx>
        <c:axId val="92859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898048"/>
        <c:crosses val="autoZero"/>
        <c:auto val="1"/>
        <c:lblAlgn val="ctr"/>
        <c:lblOffset val="100"/>
        <c:noMultiLvlLbl val="0"/>
      </c:catAx>
      <c:valAx>
        <c:axId val="928980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9285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71436</xdr:rowOff>
    </xdr:from>
    <xdr:to>
      <xdr:col>9</xdr:col>
      <xdr:colOff>1066800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185737</xdr:rowOff>
    </xdr:from>
    <xdr:to>
      <xdr:col>9</xdr:col>
      <xdr:colOff>781050</xdr:colOff>
      <xdr:row>66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28574</xdr:colOff>
      <xdr:row>94</xdr:row>
      <xdr:rowOff>23812</xdr:rowOff>
    </xdr:from>
    <xdr:to>
      <xdr:col>9</xdr:col>
      <xdr:colOff>761999</xdr:colOff>
      <xdr:row>120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137</xdr:row>
      <xdr:rowOff>14287</xdr:rowOff>
    </xdr:from>
    <xdr:to>
      <xdr:col>9</xdr:col>
      <xdr:colOff>676275</xdr:colOff>
      <xdr:row>163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66674</xdr:colOff>
      <xdr:row>181</xdr:row>
      <xdr:rowOff>185736</xdr:rowOff>
    </xdr:from>
    <xdr:to>
      <xdr:col>9</xdr:col>
      <xdr:colOff>466725</xdr:colOff>
      <xdr:row>207</xdr:row>
      <xdr:rowOff>76199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9526</xdr:colOff>
      <xdr:row>225</xdr:row>
      <xdr:rowOff>14286</xdr:rowOff>
    </xdr:from>
    <xdr:to>
      <xdr:col>9</xdr:col>
      <xdr:colOff>457201</xdr:colOff>
      <xdr:row>250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28576</xdr:colOff>
      <xdr:row>268</xdr:row>
      <xdr:rowOff>14286</xdr:rowOff>
    </xdr:from>
    <xdr:to>
      <xdr:col>9</xdr:col>
      <xdr:colOff>381001</xdr:colOff>
      <xdr:row>296</xdr:row>
      <xdr:rowOff>190499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312</xdr:row>
      <xdr:rowOff>166686</xdr:rowOff>
    </xdr:from>
    <xdr:to>
      <xdr:col>9</xdr:col>
      <xdr:colOff>447675</xdr:colOff>
      <xdr:row>342</xdr:row>
      <xdr:rowOff>190499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66674</xdr:colOff>
      <xdr:row>357</xdr:row>
      <xdr:rowOff>4762</xdr:rowOff>
    </xdr:from>
    <xdr:to>
      <xdr:col>9</xdr:col>
      <xdr:colOff>390525</xdr:colOff>
      <xdr:row>381</xdr:row>
      <xdr:rowOff>171450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400</xdr:row>
      <xdr:rowOff>185736</xdr:rowOff>
    </xdr:from>
    <xdr:to>
      <xdr:col>9</xdr:col>
      <xdr:colOff>504825</xdr:colOff>
      <xdr:row>427</xdr:row>
      <xdr:rowOff>28575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28575</xdr:colOff>
      <xdr:row>444</xdr:row>
      <xdr:rowOff>176211</xdr:rowOff>
    </xdr:from>
    <xdr:to>
      <xdr:col>9</xdr:col>
      <xdr:colOff>447675</xdr:colOff>
      <xdr:row>475</xdr:row>
      <xdr:rowOff>66675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9526</xdr:colOff>
      <xdr:row>488</xdr:row>
      <xdr:rowOff>176211</xdr:rowOff>
    </xdr:from>
    <xdr:to>
      <xdr:col>9</xdr:col>
      <xdr:colOff>476251</xdr:colOff>
      <xdr:row>514</xdr:row>
      <xdr:rowOff>171450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533</xdr:row>
      <xdr:rowOff>4761</xdr:rowOff>
    </xdr:from>
    <xdr:to>
      <xdr:col>9</xdr:col>
      <xdr:colOff>457200</xdr:colOff>
      <xdr:row>561</xdr:row>
      <xdr:rowOff>142875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576</xdr:row>
      <xdr:rowOff>176211</xdr:rowOff>
    </xdr:from>
    <xdr:to>
      <xdr:col>9</xdr:col>
      <xdr:colOff>419100</xdr:colOff>
      <xdr:row>592</xdr:row>
      <xdr:rowOff>152400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66673</xdr:colOff>
      <xdr:row>2936</xdr:row>
      <xdr:rowOff>52387</xdr:rowOff>
    </xdr:from>
    <xdr:to>
      <xdr:col>10</xdr:col>
      <xdr:colOff>1028699</xdr:colOff>
      <xdr:row>2966</xdr:row>
      <xdr:rowOff>66675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200025</xdr:colOff>
      <xdr:row>2947</xdr:row>
      <xdr:rowOff>95250</xdr:rowOff>
    </xdr:from>
    <xdr:to>
      <xdr:col>7</xdr:col>
      <xdr:colOff>171450</xdr:colOff>
      <xdr:row>2948</xdr:row>
      <xdr:rowOff>171450</xdr:rowOff>
    </xdr:to>
    <xdr:sp macro="" textlink="">
      <xdr:nvSpPr>
        <xdr:cNvPr id="18" name="17 Rectángulo redondeado"/>
        <xdr:cNvSpPr/>
      </xdr:nvSpPr>
      <xdr:spPr>
        <a:xfrm>
          <a:off x="8077200" y="586120875"/>
          <a:ext cx="914400" cy="266700"/>
        </a:xfrm>
        <a:prstGeom prst="roundRect">
          <a:avLst>
            <a:gd name="adj" fmla="val 0"/>
          </a:avLst>
        </a:prstGeom>
        <a:ln w="57150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C" sz="1100"/>
            <a:t>100 %</a:t>
          </a:r>
        </a:p>
      </xdr:txBody>
    </xdr:sp>
    <xdr:clientData/>
  </xdr:twoCellAnchor>
  <xdr:twoCellAnchor>
    <xdr:from>
      <xdr:col>1</xdr:col>
      <xdr:colOff>19049</xdr:colOff>
      <xdr:row>658</xdr:row>
      <xdr:rowOff>176211</xdr:rowOff>
    </xdr:from>
    <xdr:to>
      <xdr:col>10</xdr:col>
      <xdr:colOff>990600</xdr:colOff>
      <xdr:row>687</xdr:row>
      <xdr:rowOff>161924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28574</xdr:colOff>
      <xdr:row>764</xdr:row>
      <xdr:rowOff>185736</xdr:rowOff>
    </xdr:from>
    <xdr:to>
      <xdr:col>10</xdr:col>
      <xdr:colOff>1038225</xdr:colOff>
      <xdr:row>793</xdr:row>
      <xdr:rowOff>76200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28575</xdr:colOff>
      <xdr:row>871</xdr:row>
      <xdr:rowOff>33337</xdr:rowOff>
    </xdr:from>
    <xdr:to>
      <xdr:col>11</xdr:col>
      <xdr:colOff>9525</xdr:colOff>
      <xdr:row>900</xdr:row>
      <xdr:rowOff>123825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66674</xdr:colOff>
      <xdr:row>976</xdr:row>
      <xdr:rowOff>66675</xdr:rowOff>
    </xdr:from>
    <xdr:to>
      <xdr:col>10</xdr:col>
      <xdr:colOff>1009650</xdr:colOff>
      <xdr:row>1002</xdr:row>
      <xdr:rowOff>95250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28573</xdr:colOff>
      <xdr:row>1082</xdr:row>
      <xdr:rowOff>14286</xdr:rowOff>
    </xdr:from>
    <xdr:to>
      <xdr:col>10</xdr:col>
      <xdr:colOff>962024</xdr:colOff>
      <xdr:row>1109</xdr:row>
      <xdr:rowOff>180975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57149</xdr:colOff>
      <xdr:row>1188</xdr:row>
      <xdr:rowOff>23811</xdr:rowOff>
    </xdr:from>
    <xdr:to>
      <xdr:col>10</xdr:col>
      <xdr:colOff>981075</xdr:colOff>
      <xdr:row>1215</xdr:row>
      <xdr:rowOff>9524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76199</xdr:colOff>
      <xdr:row>1295</xdr:row>
      <xdr:rowOff>147637</xdr:rowOff>
    </xdr:from>
    <xdr:to>
      <xdr:col>10</xdr:col>
      <xdr:colOff>1038225</xdr:colOff>
      <xdr:row>1322</xdr:row>
      <xdr:rowOff>76200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19050</xdr:colOff>
      <xdr:row>1400</xdr:row>
      <xdr:rowOff>14286</xdr:rowOff>
    </xdr:from>
    <xdr:to>
      <xdr:col>11</xdr:col>
      <xdr:colOff>19050</xdr:colOff>
      <xdr:row>1431</xdr:row>
      <xdr:rowOff>171450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28574</xdr:colOff>
      <xdr:row>1506</xdr:row>
      <xdr:rowOff>4762</xdr:rowOff>
    </xdr:from>
    <xdr:to>
      <xdr:col>10</xdr:col>
      <xdr:colOff>1000125</xdr:colOff>
      <xdr:row>1534</xdr:row>
      <xdr:rowOff>38100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47625</xdr:colOff>
      <xdr:row>1612</xdr:row>
      <xdr:rowOff>23811</xdr:rowOff>
    </xdr:from>
    <xdr:to>
      <xdr:col>10</xdr:col>
      <xdr:colOff>1038225</xdr:colOff>
      <xdr:row>1641</xdr:row>
      <xdr:rowOff>47625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66674</xdr:colOff>
      <xdr:row>1717</xdr:row>
      <xdr:rowOff>14286</xdr:rowOff>
    </xdr:from>
    <xdr:to>
      <xdr:col>10</xdr:col>
      <xdr:colOff>1038225</xdr:colOff>
      <xdr:row>1745</xdr:row>
      <xdr:rowOff>9525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47624</xdr:colOff>
      <xdr:row>1823</xdr:row>
      <xdr:rowOff>4762</xdr:rowOff>
    </xdr:from>
    <xdr:to>
      <xdr:col>10</xdr:col>
      <xdr:colOff>1028699</xdr:colOff>
      <xdr:row>1853</xdr:row>
      <xdr:rowOff>152400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57149</xdr:colOff>
      <xdr:row>1928</xdr:row>
      <xdr:rowOff>33337</xdr:rowOff>
    </xdr:from>
    <xdr:to>
      <xdr:col>10</xdr:col>
      <xdr:colOff>1038225</xdr:colOff>
      <xdr:row>1959</xdr:row>
      <xdr:rowOff>161924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57149</xdr:colOff>
      <xdr:row>2034</xdr:row>
      <xdr:rowOff>42862</xdr:rowOff>
    </xdr:from>
    <xdr:to>
      <xdr:col>10</xdr:col>
      <xdr:colOff>1019175</xdr:colOff>
      <xdr:row>2066</xdr:row>
      <xdr:rowOff>19050</xdr:rowOff>
    </xdr:to>
    <xdr:graphicFrame macro="">
      <xdr:nvGraphicFramePr>
        <xdr:cNvPr id="31" name="3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57149</xdr:colOff>
      <xdr:row>2139</xdr:row>
      <xdr:rowOff>42862</xdr:rowOff>
    </xdr:from>
    <xdr:to>
      <xdr:col>11</xdr:col>
      <xdr:colOff>19050</xdr:colOff>
      <xdr:row>2169</xdr:row>
      <xdr:rowOff>0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28574</xdr:colOff>
      <xdr:row>2244</xdr:row>
      <xdr:rowOff>23812</xdr:rowOff>
    </xdr:from>
    <xdr:to>
      <xdr:col>11</xdr:col>
      <xdr:colOff>19050</xdr:colOff>
      <xdr:row>2272</xdr:row>
      <xdr:rowOff>171450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38099</xdr:colOff>
      <xdr:row>2349</xdr:row>
      <xdr:rowOff>14286</xdr:rowOff>
    </xdr:from>
    <xdr:to>
      <xdr:col>10</xdr:col>
      <xdr:colOff>1019174</xdr:colOff>
      <xdr:row>2377</xdr:row>
      <xdr:rowOff>19050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57149</xdr:colOff>
      <xdr:row>2454</xdr:row>
      <xdr:rowOff>4761</xdr:rowOff>
    </xdr:from>
    <xdr:to>
      <xdr:col>10</xdr:col>
      <xdr:colOff>1019174</xdr:colOff>
      <xdr:row>2484</xdr:row>
      <xdr:rowOff>161925</xdr:rowOff>
    </xdr:to>
    <xdr:graphicFrame macro="">
      <xdr:nvGraphicFramePr>
        <xdr:cNvPr id="35" name="3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57149</xdr:colOff>
      <xdr:row>2559</xdr:row>
      <xdr:rowOff>185736</xdr:rowOff>
    </xdr:from>
    <xdr:to>
      <xdr:col>10</xdr:col>
      <xdr:colOff>1038224</xdr:colOff>
      <xdr:row>2591</xdr:row>
      <xdr:rowOff>190499</xdr:rowOff>
    </xdr:to>
    <xdr:graphicFrame macro="">
      <xdr:nvGraphicFramePr>
        <xdr:cNvPr id="36" name="3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66674</xdr:colOff>
      <xdr:row>2666</xdr:row>
      <xdr:rowOff>14286</xdr:rowOff>
    </xdr:from>
    <xdr:to>
      <xdr:col>10</xdr:col>
      <xdr:colOff>1038225</xdr:colOff>
      <xdr:row>2699</xdr:row>
      <xdr:rowOff>171450</xdr:rowOff>
    </xdr:to>
    <xdr:graphicFrame macro="">
      <xdr:nvGraphicFramePr>
        <xdr:cNvPr id="37" name="3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47624</xdr:colOff>
      <xdr:row>2772</xdr:row>
      <xdr:rowOff>4761</xdr:rowOff>
    </xdr:from>
    <xdr:to>
      <xdr:col>10</xdr:col>
      <xdr:colOff>1028699</xdr:colOff>
      <xdr:row>2804</xdr:row>
      <xdr:rowOff>0</xdr:rowOff>
    </xdr:to>
    <xdr:graphicFrame macro="">
      <xdr:nvGraphicFramePr>
        <xdr:cNvPr id="38" name="3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66674</xdr:colOff>
      <xdr:row>2878</xdr:row>
      <xdr:rowOff>4761</xdr:rowOff>
    </xdr:from>
    <xdr:to>
      <xdr:col>10</xdr:col>
      <xdr:colOff>1019175</xdr:colOff>
      <xdr:row>2910</xdr:row>
      <xdr:rowOff>123825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0.5737</cdr:x>
      <cdr:y>0.63865</cdr:y>
    </cdr:from>
    <cdr:to>
      <cdr:x>0.65867</cdr:x>
      <cdr:y>0.68911</cdr:y>
    </cdr:to>
    <cdr:sp macro="" textlink="">
      <cdr:nvSpPr>
        <cdr:cNvPr id="3" name="2 Rectángulo redondeado"/>
        <cdr:cNvSpPr/>
      </cdr:nvSpPr>
      <cdr:spPr>
        <a:xfrm xmlns:a="http://schemas.openxmlformats.org/drawingml/2006/main">
          <a:off x="7289610" y="3659026"/>
          <a:ext cx="1079658" cy="289087"/>
        </a:xfrm>
        <a:prstGeom xmlns:a="http://schemas.openxmlformats.org/drawingml/2006/main" prst="roundRect">
          <a:avLst/>
        </a:prstGeom>
        <a:ln xmlns:a="http://schemas.openxmlformats.org/drawingml/2006/main" w="57150"/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EC"/>
            <a:t>38,26 %</a:t>
          </a:r>
        </a:p>
      </cdr:txBody>
    </cdr:sp>
  </cdr:relSizeAnchor>
  <cdr:relSizeAnchor xmlns:cdr="http://schemas.openxmlformats.org/drawingml/2006/chartDrawing">
    <cdr:from>
      <cdr:x>0.35553</cdr:x>
      <cdr:y>0.66942</cdr:y>
    </cdr:from>
    <cdr:to>
      <cdr:x>0.45502</cdr:x>
      <cdr:y>0.72236</cdr:y>
    </cdr:to>
    <cdr:sp macro="" textlink="">
      <cdr:nvSpPr>
        <cdr:cNvPr id="4" name="3 Rectángulo redondeado"/>
        <cdr:cNvSpPr/>
      </cdr:nvSpPr>
      <cdr:spPr>
        <a:xfrm xmlns:a="http://schemas.openxmlformats.org/drawingml/2006/main">
          <a:off x="4517436" y="3835292"/>
          <a:ext cx="1264155" cy="303322"/>
        </a:xfrm>
        <a:prstGeom xmlns:a="http://schemas.openxmlformats.org/drawingml/2006/main" prst="roundRect">
          <a:avLst>
            <a:gd name="adj" fmla="val 0"/>
          </a:avLst>
        </a:prstGeom>
        <a:ln xmlns:a="http://schemas.openxmlformats.org/drawingml/2006/main" w="57150"/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EC" b="1"/>
            <a:t>36,54 %</a:t>
          </a:r>
        </a:p>
      </cdr:txBody>
    </cdr:sp>
  </cdr:relSizeAnchor>
  <cdr:relSizeAnchor xmlns:cdr="http://schemas.openxmlformats.org/drawingml/2006/chartDrawing">
    <cdr:from>
      <cdr:x>0.26755</cdr:x>
      <cdr:y>0.45205</cdr:y>
    </cdr:from>
    <cdr:to>
      <cdr:x>0.36704</cdr:x>
      <cdr:y>0.49293</cdr:y>
    </cdr:to>
    <cdr:sp macro="" textlink="">
      <cdr:nvSpPr>
        <cdr:cNvPr id="5" name="4 Rectángulo redondeado"/>
        <cdr:cNvSpPr/>
      </cdr:nvSpPr>
      <cdr:spPr>
        <a:xfrm xmlns:a="http://schemas.openxmlformats.org/drawingml/2006/main">
          <a:off x="3399611" y="2589938"/>
          <a:ext cx="1264155" cy="234225"/>
        </a:xfrm>
        <a:prstGeom xmlns:a="http://schemas.openxmlformats.org/drawingml/2006/main" prst="roundRect">
          <a:avLst/>
        </a:prstGeom>
        <a:ln xmlns:a="http://schemas.openxmlformats.org/drawingml/2006/main" w="76200"/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EC"/>
            <a:t>74,79 %</a:t>
          </a:r>
        </a:p>
      </cdr:txBody>
    </cdr:sp>
  </cdr:relSizeAnchor>
  <cdr:relSizeAnchor xmlns:cdr="http://schemas.openxmlformats.org/drawingml/2006/chartDrawing">
    <cdr:from>
      <cdr:x>0.4332</cdr:x>
      <cdr:y>0.24301</cdr:y>
    </cdr:from>
    <cdr:to>
      <cdr:x>0.50885</cdr:x>
      <cdr:y>0.28512</cdr:y>
    </cdr:to>
    <cdr:sp macro="" textlink="">
      <cdr:nvSpPr>
        <cdr:cNvPr id="6" name="5 Rectángulo redondeado"/>
        <cdr:cNvSpPr/>
      </cdr:nvSpPr>
      <cdr:spPr>
        <a:xfrm xmlns:a="http://schemas.openxmlformats.org/drawingml/2006/main">
          <a:off x="5504444" y="1392259"/>
          <a:ext cx="961235" cy="241280"/>
        </a:xfrm>
        <a:prstGeom xmlns:a="http://schemas.openxmlformats.org/drawingml/2006/main" prst="roundRect">
          <a:avLst/>
        </a:prstGeom>
        <a:ln xmlns:a="http://schemas.openxmlformats.org/drawingml/2006/main" w="57150"/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C"/>
            <a:t>25,21 %</a:t>
          </a:r>
        </a:p>
      </cdr:txBody>
    </cdr:sp>
  </cdr:relSizeAnchor>
  <cdr:relSizeAnchor xmlns:cdr="http://schemas.openxmlformats.org/drawingml/2006/chartDrawing">
    <cdr:from>
      <cdr:x>0.04573</cdr:x>
      <cdr:y>0.04571</cdr:y>
    </cdr:from>
    <cdr:to>
      <cdr:x>0.94135</cdr:x>
      <cdr:y>0.12</cdr:y>
    </cdr:to>
    <cdr:sp macro="" textlink="">
      <cdr:nvSpPr>
        <cdr:cNvPr id="7" name="6 Rectángulo redondeado"/>
        <cdr:cNvSpPr/>
      </cdr:nvSpPr>
      <cdr:spPr>
        <a:xfrm xmlns:a="http://schemas.openxmlformats.org/drawingml/2006/main">
          <a:off x="581061" y="261886"/>
          <a:ext cx="11380063" cy="425629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C" sz="1400" b="1">
              <a:solidFill>
                <a:schemeClr val="accent6">
                  <a:lumMod val="50000"/>
                </a:schemeClr>
              </a:solidFill>
            </a:rPr>
            <a:t>REPRESENTACION GRAFICA DE LA EJECUCIÓN DEL PRESUPUESTO DE GASTOS DEL EJERCICIO ECONÓMICO AL 31 DE DICIEMBRE</a:t>
          </a:r>
          <a:r>
            <a:rPr lang="es-EC" sz="1400" b="1" baseline="0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es-EC" sz="1400" b="1">
              <a:solidFill>
                <a:schemeClr val="accent6">
                  <a:lumMod val="50000"/>
                </a:schemeClr>
              </a:solidFill>
            </a:rPr>
            <a:t>DEL AÑO 2014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2935"/>
  <sheetViews>
    <sheetView tabSelected="1" topLeftCell="C2195" zoomScaleNormal="100" workbookViewId="0">
      <pane xSplit="18765" topLeftCell="J1"/>
      <selection activeCell="E2214" sqref="E2214:E2215"/>
      <selection pane="topRight" activeCell="J1093" sqref="J1093"/>
    </sheetView>
  </sheetViews>
  <sheetFormatPr baseColWidth="10" defaultRowHeight="15" x14ac:dyDescent="0.25"/>
  <cols>
    <col min="1" max="1" width="1" customWidth="1"/>
    <col min="2" max="2" width="44.5703125" customWidth="1"/>
    <col min="3" max="3" width="18.28515625" bestFit="1" customWidth="1"/>
    <col min="4" max="4" width="15.28515625" customWidth="1"/>
    <col min="5" max="5" width="19.85546875" customWidth="1"/>
    <col min="6" max="6" width="19.140625" customWidth="1"/>
    <col min="7" max="7" width="14.140625" customWidth="1"/>
    <col min="8" max="9" width="13.85546875" customWidth="1"/>
    <col min="10" max="10" width="16.140625" bestFit="1" customWidth="1"/>
    <col min="11" max="11" width="15.7109375" customWidth="1"/>
    <col min="12" max="12" width="13.5703125" customWidth="1"/>
    <col min="13" max="13" width="12.5703125" customWidth="1"/>
  </cols>
  <sheetData>
    <row r="2" spans="2:10" x14ac:dyDescent="0.25">
      <c r="B2" s="270" t="s">
        <v>0</v>
      </c>
      <c r="C2" s="270"/>
      <c r="D2" s="270"/>
      <c r="E2" s="270"/>
      <c r="F2" s="270"/>
      <c r="G2" s="270"/>
      <c r="H2" s="270"/>
      <c r="I2" s="270"/>
      <c r="J2" s="270"/>
    </row>
    <row r="3" spans="2:10" x14ac:dyDescent="0.25">
      <c r="B3" s="270" t="s">
        <v>1</v>
      </c>
      <c r="C3" s="270"/>
      <c r="D3" s="270"/>
      <c r="E3" s="270"/>
      <c r="F3" s="270"/>
      <c r="G3" s="270"/>
      <c r="H3" s="270"/>
      <c r="I3" s="270"/>
      <c r="J3" s="270"/>
    </row>
    <row r="4" spans="2:10" x14ac:dyDescent="0.25">
      <c r="B4" s="270" t="s">
        <v>123</v>
      </c>
      <c r="C4" s="270"/>
      <c r="D4" s="270"/>
      <c r="E4" s="270"/>
      <c r="F4" s="270"/>
      <c r="G4" s="270"/>
      <c r="H4" s="270"/>
      <c r="I4" s="270"/>
      <c r="J4" s="270"/>
    </row>
    <row r="5" spans="2:10" ht="15.75" thickBot="1" x14ac:dyDescent="0.3">
      <c r="B5" s="201"/>
      <c r="C5" s="201"/>
      <c r="D5" s="201"/>
      <c r="E5" s="201"/>
      <c r="F5" s="201"/>
      <c r="G5" s="201"/>
      <c r="H5" s="201"/>
      <c r="I5" s="201"/>
      <c r="J5" s="201"/>
    </row>
    <row r="6" spans="2:10" ht="62.25" thickBot="1" x14ac:dyDescent="0.95">
      <c r="B6" s="274" t="s">
        <v>76</v>
      </c>
      <c r="C6" s="275"/>
      <c r="D6" s="275"/>
      <c r="E6" s="275"/>
      <c r="F6" s="275"/>
      <c r="G6" s="275"/>
      <c r="H6" s="275"/>
      <c r="I6" s="275"/>
      <c r="J6" s="276"/>
    </row>
    <row r="7" spans="2:10" ht="15.75" thickBot="1" x14ac:dyDescent="0.3"/>
    <row r="8" spans="2:10" ht="15.75" thickBot="1" x14ac:dyDescent="0.3">
      <c r="B8" s="119" t="s">
        <v>78</v>
      </c>
      <c r="C8" s="120" t="s">
        <v>68</v>
      </c>
      <c r="D8" s="165" t="s">
        <v>72</v>
      </c>
      <c r="E8" s="120" t="s">
        <v>69</v>
      </c>
      <c r="F8" s="165" t="s">
        <v>73</v>
      </c>
      <c r="G8" s="120" t="s">
        <v>8</v>
      </c>
      <c r="H8" s="165" t="s">
        <v>74</v>
      </c>
      <c r="I8" s="120" t="s">
        <v>70</v>
      </c>
      <c r="J8" s="166" t="s">
        <v>75</v>
      </c>
    </row>
    <row r="9" spans="2:10" ht="15.75" thickBot="1" x14ac:dyDescent="0.3">
      <c r="B9" s="56" t="s">
        <v>71</v>
      </c>
      <c r="C9" s="57">
        <v>71175643.689999998</v>
      </c>
      <c r="D9" s="162">
        <v>100</v>
      </c>
      <c r="E9" s="57">
        <v>68260096.739999995</v>
      </c>
      <c r="F9" s="162">
        <f>E9*100/C9</f>
        <v>95.903729423651654</v>
      </c>
      <c r="G9" s="57">
        <f>C9-E9+I9</f>
        <v>3821135.1500000032</v>
      </c>
      <c r="H9" s="162">
        <f>G9*100/C9</f>
        <v>5.3685993577278506</v>
      </c>
      <c r="I9" s="57">
        <v>905588.2</v>
      </c>
      <c r="J9" s="163">
        <f>I9*100/C9</f>
        <v>1.2723287813795112</v>
      </c>
    </row>
    <row r="26" spans="11:11" x14ac:dyDescent="0.25">
      <c r="K26" t="s">
        <v>97</v>
      </c>
    </row>
    <row r="42" spans="2:10" x14ac:dyDescent="0.25">
      <c r="B42" s="270" t="s">
        <v>0</v>
      </c>
      <c r="C42" s="270"/>
      <c r="D42" s="270"/>
      <c r="E42" s="270"/>
      <c r="F42" s="270"/>
      <c r="G42" s="270"/>
      <c r="H42" s="270"/>
      <c r="I42" s="270"/>
      <c r="J42" s="270"/>
    </row>
    <row r="43" spans="2:10" x14ac:dyDescent="0.25">
      <c r="B43" s="270" t="s">
        <v>1</v>
      </c>
      <c r="C43" s="270"/>
      <c r="D43" s="270"/>
      <c r="E43" s="270"/>
      <c r="F43" s="270"/>
      <c r="G43" s="270"/>
      <c r="H43" s="270"/>
      <c r="I43" s="270"/>
      <c r="J43" s="270"/>
    </row>
    <row r="44" spans="2:10" x14ac:dyDescent="0.25">
      <c r="B44" s="270" t="s">
        <v>124</v>
      </c>
      <c r="C44" s="270"/>
      <c r="D44" s="270"/>
      <c r="E44" s="270"/>
      <c r="F44" s="270"/>
      <c r="G44" s="270"/>
      <c r="H44" s="270"/>
      <c r="I44" s="270"/>
      <c r="J44" s="270"/>
    </row>
    <row r="45" spans="2:10" ht="15.75" thickBot="1" x14ac:dyDescent="0.3">
      <c r="B45" s="201"/>
      <c r="C45" s="201"/>
      <c r="D45" s="201"/>
      <c r="E45" s="201"/>
      <c r="F45" s="201"/>
      <c r="G45" s="201"/>
      <c r="H45" s="201"/>
      <c r="I45" s="201"/>
      <c r="J45" s="201"/>
    </row>
    <row r="46" spans="2:10" ht="15.75" thickBot="1" x14ac:dyDescent="0.3">
      <c r="B46" s="119" t="s">
        <v>78</v>
      </c>
      <c r="C46" s="120" t="s">
        <v>68</v>
      </c>
      <c r="D46" s="165" t="s">
        <v>72</v>
      </c>
      <c r="E46" s="120" t="s">
        <v>69</v>
      </c>
      <c r="F46" s="165" t="s">
        <v>73</v>
      </c>
      <c r="G46" s="120" t="s">
        <v>8</v>
      </c>
      <c r="H46" s="165" t="s">
        <v>74</v>
      </c>
      <c r="I46" s="120" t="s">
        <v>70</v>
      </c>
      <c r="J46" s="166" t="s">
        <v>75</v>
      </c>
    </row>
    <row r="47" spans="2:10" ht="15.75" thickBot="1" x14ac:dyDescent="0.3">
      <c r="B47" s="56" t="s">
        <v>77</v>
      </c>
      <c r="C47" s="57">
        <v>14839191.85</v>
      </c>
      <c r="D47" s="162">
        <v>100</v>
      </c>
      <c r="E47" s="57">
        <v>15095365.369999999</v>
      </c>
      <c r="F47" s="162">
        <f>E47*100/C47</f>
        <v>101.7263306694158</v>
      </c>
      <c r="G47" s="57">
        <f>C47-E47+I47</f>
        <v>523549.06000000041</v>
      </c>
      <c r="H47" s="162">
        <f>G47*100/C47</f>
        <v>3.5281507597733524</v>
      </c>
      <c r="I47" s="57">
        <v>779722.58</v>
      </c>
      <c r="J47" s="163">
        <f>I47*100/C47</f>
        <v>5.2544814291891511</v>
      </c>
    </row>
    <row r="86" spans="2:10" x14ac:dyDescent="0.25">
      <c r="B86" s="270" t="s">
        <v>0</v>
      </c>
      <c r="C86" s="270"/>
      <c r="D86" s="270"/>
      <c r="E86" s="270"/>
      <c r="F86" s="270"/>
      <c r="G86" s="270"/>
      <c r="H86" s="270"/>
      <c r="I86" s="270"/>
      <c r="J86" s="270"/>
    </row>
    <row r="87" spans="2:10" x14ac:dyDescent="0.25">
      <c r="B87" s="270" t="s">
        <v>1</v>
      </c>
      <c r="C87" s="270"/>
      <c r="D87" s="270"/>
      <c r="E87" s="270"/>
      <c r="F87" s="270"/>
      <c r="G87" s="270"/>
      <c r="H87" s="270"/>
      <c r="I87" s="270"/>
      <c r="J87" s="270"/>
    </row>
    <row r="88" spans="2:10" x14ac:dyDescent="0.25">
      <c r="B88" s="270" t="s">
        <v>123</v>
      </c>
      <c r="C88" s="270"/>
      <c r="D88" s="270"/>
      <c r="E88" s="270"/>
      <c r="F88" s="270"/>
      <c r="G88" s="270"/>
      <c r="H88" s="270"/>
      <c r="I88" s="270"/>
      <c r="J88" s="270"/>
    </row>
    <row r="90" spans="2:10" ht="15.75" thickBot="1" x14ac:dyDescent="0.3"/>
    <row r="91" spans="2:10" ht="15.75" thickBot="1" x14ac:dyDescent="0.3">
      <c r="B91" s="119" t="s">
        <v>78</v>
      </c>
      <c r="C91" s="120" t="s">
        <v>68</v>
      </c>
      <c r="D91" s="165" t="s">
        <v>72</v>
      </c>
      <c r="E91" s="120" t="s">
        <v>69</v>
      </c>
      <c r="F91" s="165" t="s">
        <v>73</v>
      </c>
      <c r="G91" s="120" t="s">
        <v>8</v>
      </c>
      <c r="H91" s="165" t="s">
        <v>74</v>
      </c>
      <c r="I91" s="120" t="s">
        <v>70</v>
      </c>
      <c r="J91" s="166" t="s">
        <v>75</v>
      </c>
    </row>
    <row r="92" spans="2:10" ht="15.75" thickBot="1" x14ac:dyDescent="0.3">
      <c r="B92" s="56" t="s">
        <v>79</v>
      </c>
      <c r="C92" s="57">
        <v>3803346.64</v>
      </c>
      <c r="D92" s="162">
        <v>100</v>
      </c>
      <c r="E92" s="57">
        <v>3903844.36</v>
      </c>
      <c r="F92" s="162">
        <f>E92*100/C92</f>
        <v>102.64234973859757</v>
      </c>
      <c r="G92" s="57">
        <f>C92-E92+I92</f>
        <v>170411.73000000027</v>
      </c>
      <c r="H92" s="162">
        <f>G92*100/C92</f>
        <v>4.4805731932969497</v>
      </c>
      <c r="I92" s="57">
        <v>270909.45</v>
      </c>
      <c r="J92" s="163">
        <f>I92*100/C92</f>
        <v>7.1229229318945269</v>
      </c>
    </row>
    <row r="130" spans="2:10" x14ac:dyDescent="0.25">
      <c r="B130" s="270" t="s">
        <v>0</v>
      </c>
      <c r="C130" s="270"/>
      <c r="D130" s="270"/>
      <c r="E130" s="270"/>
      <c r="F130" s="270"/>
      <c r="G130" s="270"/>
      <c r="H130" s="270"/>
      <c r="I130" s="270"/>
      <c r="J130" s="270"/>
    </row>
    <row r="131" spans="2:10" x14ac:dyDescent="0.25">
      <c r="B131" s="270" t="s">
        <v>1</v>
      </c>
      <c r="C131" s="270"/>
      <c r="D131" s="270"/>
      <c r="E131" s="270"/>
      <c r="F131" s="270"/>
      <c r="G131" s="270"/>
      <c r="H131" s="270"/>
      <c r="I131" s="270"/>
      <c r="J131" s="270"/>
    </row>
    <row r="132" spans="2:10" x14ac:dyDescent="0.25">
      <c r="B132" s="270" t="s">
        <v>124</v>
      </c>
      <c r="C132" s="270"/>
      <c r="D132" s="270"/>
      <c r="E132" s="270"/>
      <c r="F132" s="270"/>
      <c r="G132" s="270"/>
      <c r="H132" s="270"/>
      <c r="I132" s="270"/>
      <c r="J132" s="270"/>
    </row>
    <row r="133" spans="2:10" ht="15.75" thickBot="1" x14ac:dyDescent="0.3"/>
    <row r="134" spans="2:10" ht="15.75" thickBot="1" x14ac:dyDescent="0.3">
      <c r="B134" s="119" t="s">
        <v>78</v>
      </c>
      <c r="C134" s="120" t="s">
        <v>68</v>
      </c>
      <c r="D134" s="165" t="s">
        <v>72</v>
      </c>
      <c r="E134" s="120" t="s">
        <v>69</v>
      </c>
      <c r="F134" s="165" t="s">
        <v>73</v>
      </c>
      <c r="G134" s="120" t="s">
        <v>8</v>
      </c>
      <c r="H134" s="165" t="s">
        <v>74</v>
      </c>
      <c r="I134" s="120" t="s">
        <v>70</v>
      </c>
      <c r="J134" s="166" t="s">
        <v>75</v>
      </c>
    </row>
    <row r="135" spans="2:10" ht="15.75" thickBot="1" x14ac:dyDescent="0.3">
      <c r="B135" s="56" t="s">
        <v>80</v>
      </c>
      <c r="C135" s="57">
        <v>2873165.95</v>
      </c>
      <c r="D135" s="162">
        <v>100</v>
      </c>
      <c r="E135" s="57">
        <v>2792974.74</v>
      </c>
      <c r="F135" s="162">
        <f>E135*100/C135</f>
        <v>97.208960032399091</v>
      </c>
      <c r="G135" s="57">
        <f>C135-E135+I135</f>
        <v>152158.19999999995</v>
      </c>
      <c r="H135" s="162">
        <f>G135*100/C135</f>
        <v>5.2958375063577501</v>
      </c>
      <c r="I135" s="57">
        <v>71966.990000000005</v>
      </c>
      <c r="J135" s="163">
        <f>I135*100/C135</f>
        <v>2.5047975387568546</v>
      </c>
    </row>
    <row r="174" spans="2:10" x14ac:dyDescent="0.25">
      <c r="B174" s="270" t="s">
        <v>0</v>
      </c>
      <c r="C174" s="270"/>
      <c r="D174" s="270"/>
      <c r="E174" s="270"/>
      <c r="F174" s="270"/>
      <c r="G174" s="270"/>
      <c r="H174" s="270"/>
      <c r="I174" s="270"/>
      <c r="J174" s="270"/>
    </row>
    <row r="175" spans="2:10" x14ac:dyDescent="0.25">
      <c r="B175" s="270" t="s">
        <v>1</v>
      </c>
      <c r="C175" s="270"/>
      <c r="D175" s="270"/>
      <c r="E175" s="270"/>
      <c r="F175" s="270"/>
      <c r="G175" s="270"/>
      <c r="H175" s="270"/>
      <c r="I175" s="270"/>
      <c r="J175" s="270"/>
    </row>
    <row r="176" spans="2:10" x14ac:dyDescent="0.25">
      <c r="B176" s="270" t="s">
        <v>123</v>
      </c>
      <c r="C176" s="270"/>
      <c r="D176" s="270"/>
      <c r="E176" s="270"/>
      <c r="F176" s="270"/>
      <c r="G176" s="270"/>
      <c r="H176" s="270"/>
      <c r="I176" s="270"/>
      <c r="J176" s="270"/>
    </row>
    <row r="178" spans="2:10" ht="15.75" thickBot="1" x14ac:dyDescent="0.3"/>
    <row r="179" spans="2:10" ht="15.75" thickBot="1" x14ac:dyDescent="0.3">
      <c r="B179" s="119" t="s">
        <v>78</v>
      </c>
      <c r="C179" s="120" t="s">
        <v>68</v>
      </c>
      <c r="D179" s="165" t="s">
        <v>72</v>
      </c>
      <c r="E179" s="120" t="s">
        <v>69</v>
      </c>
      <c r="F179" s="165" t="s">
        <v>73</v>
      </c>
      <c r="G179" s="120" t="s">
        <v>8</v>
      </c>
      <c r="H179" s="165" t="s">
        <v>74</v>
      </c>
      <c r="I179" s="120" t="s">
        <v>70</v>
      </c>
      <c r="J179" s="166" t="s">
        <v>75</v>
      </c>
    </row>
    <row r="180" spans="2:10" ht="15.75" thickBot="1" x14ac:dyDescent="0.3">
      <c r="B180" s="56" t="s">
        <v>81</v>
      </c>
      <c r="C180" s="57">
        <v>2319533.1</v>
      </c>
      <c r="D180" s="162">
        <v>100</v>
      </c>
      <c r="E180" s="57">
        <v>2295316.8199999998</v>
      </c>
      <c r="F180" s="162">
        <f>E180*100/C180</f>
        <v>98.955984719510994</v>
      </c>
      <c r="G180" s="57">
        <f>C180-E180+I180</f>
        <v>180764.00000000026</v>
      </c>
      <c r="H180" s="162">
        <f>G180*100/C180</f>
        <v>7.7931200895559654</v>
      </c>
      <c r="I180" s="57">
        <v>156547.72</v>
      </c>
      <c r="J180" s="163">
        <f>I180*100/C180</f>
        <v>6.7491048090669628</v>
      </c>
    </row>
    <row r="218" spans="2:10" x14ac:dyDescent="0.25">
      <c r="B218" s="270" t="s">
        <v>0</v>
      </c>
      <c r="C218" s="270"/>
      <c r="D218" s="270"/>
      <c r="E218" s="270"/>
      <c r="F218" s="270"/>
      <c r="G218" s="270"/>
      <c r="H218" s="270"/>
      <c r="I218" s="270"/>
      <c r="J218" s="270"/>
    </row>
    <row r="219" spans="2:10" x14ac:dyDescent="0.25">
      <c r="B219" s="270" t="s">
        <v>1</v>
      </c>
      <c r="C219" s="270"/>
      <c r="D219" s="270"/>
      <c r="E219" s="270"/>
      <c r="F219" s="270"/>
      <c r="G219" s="270"/>
      <c r="H219" s="270"/>
      <c r="I219" s="270"/>
      <c r="J219" s="270"/>
    </row>
    <row r="220" spans="2:10" x14ac:dyDescent="0.25">
      <c r="B220" s="270" t="s">
        <v>124</v>
      </c>
      <c r="C220" s="270"/>
      <c r="D220" s="270"/>
      <c r="E220" s="270"/>
      <c r="F220" s="270"/>
      <c r="G220" s="270"/>
      <c r="H220" s="270"/>
      <c r="I220" s="270"/>
      <c r="J220" s="270"/>
    </row>
    <row r="221" spans="2:10" ht="15.75" thickBot="1" x14ac:dyDescent="0.3">
      <c r="B221" s="201"/>
      <c r="C221" s="201"/>
      <c r="D221" s="201"/>
      <c r="E221" s="201"/>
      <c r="F221" s="201"/>
      <c r="G221" s="201"/>
      <c r="H221" s="201"/>
      <c r="I221" s="201"/>
      <c r="J221" s="201"/>
    </row>
    <row r="222" spans="2:10" ht="15.75" thickBot="1" x14ac:dyDescent="0.3">
      <c r="B222" s="119" t="s">
        <v>78</v>
      </c>
      <c r="C222" s="120" t="s">
        <v>68</v>
      </c>
      <c r="D222" s="165" t="s">
        <v>72</v>
      </c>
      <c r="E222" s="120" t="s">
        <v>69</v>
      </c>
      <c r="F222" s="165" t="s">
        <v>73</v>
      </c>
      <c r="G222" s="120" t="s">
        <v>8</v>
      </c>
      <c r="H222" s="165" t="s">
        <v>74</v>
      </c>
      <c r="I222" s="120" t="s">
        <v>70</v>
      </c>
      <c r="J222" s="166" t="s">
        <v>75</v>
      </c>
    </row>
    <row r="223" spans="2:10" ht="15.75" thickBot="1" x14ac:dyDescent="0.3">
      <c r="B223" s="56" t="s">
        <v>82</v>
      </c>
      <c r="C223" s="57">
        <v>1175120.77</v>
      </c>
      <c r="D223" s="162">
        <v>100</v>
      </c>
      <c r="E223" s="57">
        <v>1435204.06</v>
      </c>
      <c r="F223" s="162">
        <f>E223*100/C223</f>
        <v>122.13247324357989</v>
      </c>
      <c r="G223" s="57">
        <f>C223-E223+I223</f>
        <v>20215.129999999946</v>
      </c>
      <c r="H223" s="162">
        <f>G223*100/C223</f>
        <v>1.7202597823200714</v>
      </c>
      <c r="I223" s="57">
        <v>280298.42</v>
      </c>
      <c r="J223" s="163">
        <f>I223*100/C223</f>
        <v>23.852733025899969</v>
      </c>
    </row>
    <row r="262" spans="2:10" x14ac:dyDescent="0.25">
      <c r="B262" s="270" t="s">
        <v>0</v>
      </c>
      <c r="C262" s="270"/>
      <c r="D262" s="270"/>
      <c r="E262" s="270"/>
      <c r="F262" s="270"/>
      <c r="G262" s="270"/>
      <c r="H262" s="270"/>
      <c r="I262" s="270"/>
      <c r="J262" s="270"/>
    </row>
    <row r="263" spans="2:10" x14ac:dyDescent="0.25">
      <c r="B263" s="270" t="s">
        <v>1</v>
      </c>
      <c r="C263" s="270"/>
      <c r="D263" s="270"/>
      <c r="E263" s="270"/>
      <c r="F263" s="270"/>
      <c r="G263" s="270"/>
      <c r="H263" s="270"/>
      <c r="I263" s="270"/>
      <c r="J263" s="270"/>
    </row>
    <row r="264" spans="2:10" x14ac:dyDescent="0.25">
      <c r="B264" s="270" t="s">
        <v>123</v>
      </c>
      <c r="C264" s="270"/>
      <c r="D264" s="270"/>
      <c r="E264" s="270"/>
      <c r="F264" s="270"/>
      <c r="G264" s="270"/>
      <c r="H264" s="270"/>
      <c r="I264" s="270"/>
      <c r="J264" s="270"/>
    </row>
    <row r="265" spans="2:10" ht="15.75" thickBot="1" x14ac:dyDescent="0.3"/>
    <row r="266" spans="2:10" ht="15.75" thickBot="1" x14ac:dyDescent="0.3">
      <c r="B266" s="119" t="s">
        <v>78</v>
      </c>
      <c r="C266" s="120" t="s">
        <v>68</v>
      </c>
      <c r="D266" s="165" t="s">
        <v>72</v>
      </c>
      <c r="E266" s="120" t="s">
        <v>69</v>
      </c>
      <c r="F266" s="165" t="s">
        <v>73</v>
      </c>
      <c r="G266" s="120" t="s">
        <v>8</v>
      </c>
      <c r="H266" s="165" t="s">
        <v>74</v>
      </c>
      <c r="I266" s="120" t="s">
        <v>70</v>
      </c>
      <c r="J266" s="166" t="s">
        <v>75</v>
      </c>
    </row>
    <row r="267" spans="2:10" ht="15.75" thickBot="1" x14ac:dyDescent="0.3">
      <c r="B267" s="56" t="s">
        <v>83</v>
      </c>
      <c r="C267" s="57">
        <v>4668025.3899999997</v>
      </c>
      <c r="D267" s="162">
        <v>100</v>
      </c>
      <c r="E267" s="57">
        <v>4668025.3899999997</v>
      </c>
      <c r="F267" s="162">
        <f>E267*100/C267</f>
        <v>100</v>
      </c>
      <c r="G267" s="57">
        <f>C267-E267+I267</f>
        <v>0</v>
      </c>
      <c r="H267" s="162">
        <f>G267*100/C267</f>
        <v>0</v>
      </c>
      <c r="I267" s="57">
        <v>0</v>
      </c>
      <c r="J267" s="163">
        <f>I267*100/C267</f>
        <v>0</v>
      </c>
    </row>
    <row r="306" spans="2:10" x14ac:dyDescent="0.25">
      <c r="B306" s="270" t="s">
        <v>0</v>
      </c>
      <c r="C306" s="270"/>
      <c r="D306" s="270"/>
      <c r="E306" s="270"/>
      <c r="F306" s="270"/>
      <c r="G306" s="270"/>
      <c r="H306" s="270"/>
      <c r="I306" s="270"/>
      <c r="J306" s="270"/>
    </row>
    <row r="307" spans="2:10" x14ac:dyDescent="0.25">
      <c r="B307" s="270" t="s">
        <v>1</v>
      </c>
      <c r="C307" s="270"/>
      <c r="D307" s="270"/>
      <c r="E307" s="270"/>
      <c r="F307" s="270"/>
      <c r="G307" s="270"/>
      <c r="H307" s="270"/>
      <c r="I307" s="270"/>
      <c r="J307" s="270"/>
    </row>
    <row r="308" spans="2:10" x14ac:dyDescent="0.25">
      <c r="B308" s="270" t="s">
        <v>124</v>
      </c>
      <c r="C308" s="270"/>
      <c r="D308" s="270"/>
      <c r="E308" s="270"/>
      <c r="F308" s="270"/>
      <c r="G308" s="270"/>
      <c r="H308" s="270"/>
      <c r="I308" s="270"/>
      <c r="J308" s="270"/>
    </row>
    <row r="309" spans="2:10" ht="15.75" thickBot="1" x14ac:dyDescent="0.3"/>
    <row r="310" spans="2:10" ht="15.75" thickBot="1" x14ac:dyDescent="0.3">
      <c r="B310" s="119" t="s">
        <v>78</v>
      </c>
      <c r="C310" s="120" t="s">
        <v>68</v>
      </c>
      <c r="D310" s="165" t="s">
        <v>72</v>
      </c>
      <c r="E310" s="120" t="s">
        <v>69</v>
      </c>
      <c r="F310" s="165" t="s">
        <v>73</v>
      </c>
      <c r="G310" s="120" t="s">
        <v>8</v>
      </c>
      <c r="H310" s="165" t="s">
        <v>74</v>
      </c>
      <c r="I310" s="120" t="s">
        <v>70</v>
      </c>
      <c r="J310" s="166" t="s">
        <v>75</v>
      </c>
    </row>
    <row r="311" spans="2:10" ht="15.75" thickBot="1" x14ac:dyDescent="0.3">
      <c r="B311" s="56" t="s">
        <v>84</v>
      </c>
      <c r="C311" s="57">
        <v>20331643.530000001</v>
      </c>
      <c r="D311" s="162">
        <v>100</v>
      </c>
      <c r="E311" s="57">
        <v>18396705.870000001</v>
      </c>
      <c r="F311" s="162">
        <f>E311*100/C311</f>
        <v>90.483122246635219</v>
      </c>
      <c r="G311" s="57">
        <f>C311-E311+I311</f>
        <v>2016684.2200000002</v>
      </c>
      <c r="H311" s="162">
        <f>G311*100/C311</f>
        <v>9.9189434293608247</v>
      </c>
      <c r="I311" s="57">
        <v>81746.559999999998</v>
      </c>
      <c r="J311" s="163">
        <f>I311*100/C311</f>
        <v>0.40206567599604182</v>
      </c>
    </row>
    <row r="350" spans="2:10" x14ac:dyDescent="0.25">
      <c r="B350" s="270" t="s">
        <v>0</v>
      </c>
      <c r="C350" s="270"/>
      <c r="D350" s="270"/>
      <c r="E350" s="270"/>
      <c r="F350" s="270"/>
      <c r="G350" s="270"/>
      <c r="H350" s="270"/>
      <c r="I350" s="270"/>
      <c r="J350" s="270"/>
    </row>
    <row r="351" spans="2:10" x14ac:dyDescent="0.25">
      <c r="B351" s="270" t="s">
        <v>1</v>
      </c>
      <c r="C351" s="270"/>
      <c r="D351" s="270"/>
      <c r="E351" s="270"/>
      <c r="F351" s="270"/>
      <c r="G351" s="270"/>
      <c r="H351" s="270"/>
      <c r="I351" s="270"/>
      <c r="J351" s="270"/>
    </row>
    <row r="352" spans="2:10" x14ac:dyDescent="0.25">
      <c r="B352" s="270" t="s">
        <v>123</v>
      </c>
      <c r="C352" s="270"/>
      <c r="D352" s="270"/>
      <c r="E352" s="270"/>
      <c r="F352" s="270"/>
      <c r="G352" s="270"/>
      <c r="H352" s="270"/>
      <c r="I352" s="270"/>
      <c r="J352" s="270"/>
    </row>
    <row r="353" spans="2:10" ht="15.75" thickBot="1" x14ac:dyDescent="0.3"/>
    <row r="354" spans="2:10" ht="15.75" thickBot="1" x14ac:dyDescent="0.3">
      <c r="B354" s="119" t="s">
        <v>78</v>
      </c>
      <c r="C354" s="120" t="s">
        <v>68</v>
      </c>
      <c r="D354" s="165" t="s">
        <v>72</v>
      </c>
      <c r="E354" s="120" t="s">
        <v>69</v>
      </c>
      <c r="F354" s="165" t="s">
        <v>73</v>
      </c>
      <c r="G354" s="120" t="s">
        <v>8</v>
      </c>
      <c r="H354" s="165" t="s">
        <v>74</v>
      </c>
      <c r="I354" s="120" t="s">
        <v>70</v>
      </c>
      <c r="J354" s="166" t="s">
        <v>75</v>
      </c>
    </row>
    <row r="355" spans="2:10" ht="15.75" thickBot="1" x14ac:dyDescent="0.3">
      <c r="B355" s="56" t="s">
        <v>85</v>
      </c>
      <c r="C355" s="57">
        <v>135210</v>
      </c>
      <c r="D355" s="162">
        <v>100</v>
      </c>
      <c r="E355" s="57">
        <v>132604.99</v>
      </c>
      <c r="F355" s="162">
        <f>E355*100/C355</f>
        <v>98.073359958582941</v>
      </c>
      <c r="G355" s="57">
        <f>C355-E355+I355</f>
        <v>13059.87000000001</v>
      </c>
      <c r="H355" s="162">
        <f>G355*100/C355</f>
        <v>9.6589527401819453</v>
      </c>
      <c r="I355" s="57">
        <v>10454.86</v>
      </c>
      <c r="J355" s="163">
        <f>I355*100/C355</f>
        <v>7.7323126987648845</v>
      </c>
    </row>
    <row r="394" spans="2:10" x14ac:dyDescent="0.25">
      <c r="B394" s="270" t="s">
        <v>0</v>
      </c>
      <c r="C394" s="270"/>
      <c r="D394" s="270"/>
      <c r="E394" s="270"/>
      <c r="F394" s="270"/>
      <c r="G394" s="270"/>
      <c r="H394" s="270"/>
      <c r="I394" s="270"/>
      <c r="J394" s="270"/>
    </row>
    <row r="395" spans="2:10" x14ac:dyDescent="0.25">
      <c r="B395" s="270" t="s">
        <v>1</v>
      </c>
      <c r="C395" s="270"/>
      <c r="D395" s="270"/>
      <c r="E395" s="270"/>
      <c r="F395" s="270"/>
      <c r="G395" s="270"/>
      <c r="H395" s="270"/>
      <c r="I395" s="270"/>
      <c r="J395" s="270"/>
    </row>
    <row r="396" spans="2:10" x14ac:dyDescent="0.25">
      <c r="B396" s="270" t="s">
        <v>123</v>
      </c>
      <c r="C396" s="270"/>
      <c r="D396" s="270"/>
      <c r="E396" s="270"/>
      <c r="F396" s="270"/>
      <c r="G396" s="270"/>
      <c r="H396" s="270"/>
      <c r="I396" s="270"/>
      <c r="J396" s="270"/>
    </row>
    <row r="397" spans="2:10" ht="15.75" thickBot="1" x14ac:dyDescent="0.3"/>
    <row r="398" spans="2:10" ht="15.75" thickBot="1" x14ac:dyDescent="0.3">
      <c r="B398" s="119" t="s">
        <v>78</v>
      </c>
      <c r="C398" s="120" t="s">
        <v>68</v>
      </c>
      <c r="D398" s="165" t="s">
        <v>72</v>
      </c>
      <c r="E398" s="120" t="s">
        <v>69</v>
      </c>
      <c r="F398" s="165" t="s">
        <v>73</v>
      </c>
      <c r="G398" s="120" t="s">
        <v>8</v>
      </c>
      <c r="H398" s="165" t="s">
        <v>74</v>
      </c>
      <c r="I398" s="120" t="s">
        <v>70</v>
      </c>
      <c r="J398" s="166" t="s">
        <v>75</v>
      </c>
    </row>
    <row r="399" spans="2:10" ht="15.75" thickBot="1" x14ac:dyDescent="0.3">
      <c r="B399" s="56" t="s">
        <v>86</v>
      </c>
      <c r="C399" s="57">
        <v>20196433.530000001</v>
      </c>
      <c r="D399" s="162">
        <v>100</v>
      </c>
      <c r="E399" s="57">
        <v>18264100.879999999</v>
      </c>
      <c r="F399" s="162">
        <f>E399*100/C399</f>
        <v>90.432307530288981</v>
      </c>
      <c r="G399" s="57">
        <f>C399-E399+I399</f>
        <v>2003624.3500000022</v>
      </c>
      <c r="H399" s="162">
        <f>G399*100/C399</f>
        <v>9.92068400108265</v>
      </c>
      <c r="I399" s="57">
        <v>71291.7</v>
      </c>
      <c r="J399" s="163">
        <f>I399*100/C399</f>
        <v>0.35299153137162825</v>
      </c>
    </row>
    <row r="438" spans="2:10" x14ac:dyDescent="0.25">
      <c r="B438" s="270" t="s">
        <v>0</v>
      </c>
      <c r="C438" s="270"/>
      <c r="D438" s="270"/>
      <c r="E438" s="270"/>
      <c r="F438" s="270"/>
      <c r="G438" s="270"/>
      <c r="H438" s="270"/>
      <c r="I438" s="270"/>
      <c r="J438" s="270"/>
    </row>
    <row r="439" spans="2:10" x14ac:dyDescent="0.25">
      <c r="B439" s="270" t="s">
        <v>1</v>
      </c>
      <c r="C439" s="270"/>
      <c r="D439" s="270"/>
      <c r="E439" s="270"/>
      <c r="F439" s="270"/>
      <c r="G439" s="270"/>
      <c r="H439" s="270"/>
      <c r="I439" s="270"/>
      <c r="J439" s="270"/>
    </row>
    <row r="440" spans="2:10" x14ac:dyDescent="0.25">
      <c r="B440" s="270" t="s">
        <v>123</v>
      </c>
      <c r="C440" s="270"/>
      <c r="D440" s="270"/>
      <c r="E440" s="270"/>
      <c r="F440" s="270"/>
      <c r="G440" s="270"/>
      <c r="H440" s="270"/>
      <c r="I440" s="270"/>
      <c r="J440" s="270"/>
    </row>
    <row r="441" spans="2:10" ht="15.75" thickBot="1" x14ac:dyDescent="0.3"/>
    <row r="442" spans="2:10" ht="15.75" thickBot="1" x14ac:dyDescent="0.3">
      <c r="B442" s="119" t="s">
        <v>78</v>
      </c>
      <c r="C442" s="120" t="s">
        <v>68</v>
      </c>
      <c r="D442" s="165" t="s">
        <v>72</v>
      </c>
      <c r="E442" s="120" t="s">
        <v>69</v>
      </c>
      <c r="F442" s="165" t="s">
        <v>73</v>
      </c>
      <c r="G442" s="120" t="s">
        <v>8</v>
      </c>
      <c r="H442" s="165" t="s">
        <v>74</v>
      </c>
      <c r="I442" s="120" t="s">
        <v>70</v>
      </c>
      <c r="J442" s="166" t="s">
        <v>75</v>
      </c>
    </row>
    <row r="443" spans="2:10" ht="15.75" thickBot="1" x14ac:dyDescent="0.3">
      <c r="B443" s="56" t="s">
        <v>87</v>
      </c>
      <c r="C443" s="57">
        <v>36004808.310000002</v>
      </c>
      <c r="D443" s="162">
        <v>100</v>
      </c>
      <c r="E443" s="57">
        <v>34768025.5</v>
      </c>
      <c r="F443" s="162">
        <f>E443*100/C443</f>
        <v>96.5649509939024</v>
      </c>
      <c r="G443" s="57">
        <f>C443-E443+I443</f>
        <v>1280901.8700000024</v>
      </c>
      <c r="H443" s="162">
        <f>G443*100/C443</f>
        <v>3.5575855840461279</v>
      </c>
      <c r="I443" s="57">
        <v>44119.06</v>
      </c>
      <c r="J443" s="163">
        <f>I443*100/C443</f>
        <v>0.12253657794852456</v>
      </c>
    </row>
    <row r="482" spans="2:10" x14ac:dyDescent="0.25">
      <c r="B482" s="270" t="s">
        <v>0</v>
      </c>
      <c r="C482" s="270"/>
      <c r="D482" s="270"/>
      <c r="E482" s="270"/>
      <c r="F482" s="270"/>
      <c r="G482" s="270"/>
      <c r="H482" s="270"/>
      <c r="I482" s="270"/>
      <c r="J482" s="270"/>
    </row>
    <row r="483" spans="2:10" x14ac:dyDescent="0.25">
      <c r="B483" s="270" t="s">
        <v>1</v>
      </c>
      <c r="C483" s="270"/>
      <c r="D483" s="270"/>
      <c r="E483" s="270"/>
      <c r="F483" s="270"/>
      <c r="G483" s="270"/>
      <c r="H483" s="270"/>
      <c r="I483" s="270"/>
      <c r="J483" s="270"/>
    </row>
    <row r="484" spans="2:10" x14ac:dyDescent="0.25">
      <c r="B484" s="270" t="s">
        <v>123</v>
      </c>
      <c r="C484" s="270"/>
      <c r="D484" s="270"/>
      <c r="E484" s="270"/>
      <c r="F484" s="270"/>
      <c r="G484" s="270"/>
      <c r="H484" s="270"/>
      <c r="I484" s="270"/>
      <c r="J484" s="270"/>
    </row>
    <row r="485" spans="2:10" ht="15.75" thickBot="1" x14ac:dyDescent="0.3"/>
    <row r="486" spans="2:10" ht="15.75" thickBot="1" x14ac:dyDescent="0.3">
      <c r="B486" s="119" t="s">
        <v>78</v>
      </c>
      <c r="C486" s="120" t="s">
        <v>68</v>
      </c>
      <c r="D486" s="165" t="s">
        <v>72</v>
      </c>
      <c r="E486" s="120" t="s">
        <v>69</v>
      </c>
      <c r="F486" s="165" t="s">
        <v>73</v>
      </c>
      <c r="G486" s="120" t="s">
        <v>8</v>
      </c>
      <c r="H486" s="165" t="s">
        <v>74</v>
      </c>
      <c r="I486" s="120" t="s">
        <v>70</v>
      </c>
      <c r="J486" s="166" t="s">
        <v>75</v>
      </c>
    </row>
    <row r="487" spans="2:10" ht="15.75" thickBot="1" x14ac:dyDescent="0.3">
      <c r="B487" s="56" t="s">
        <v>88</v>
      </c>
      <c r="C487" s="57">
        <v>733443.4</v>
      </c>
      <c r="D487" s="162">
        <v>100</v>
      </c>
      <c r="E487" s="57">
        <v>530550.16</v>
      </c>
      <c r="F487" s="162">
        <f>E487*100/C487</f>
        <v>72.336891981030845</v>
      </c>
      <c r="G487" s="57">
        <f>C487-E487+I487</f>
        <v>202893.24</v>
      </c>
      <c r="H487" s="162">
        <f>G487*100/C487</f>
        <v>27.663108018969151</v>
      </c>
      <c r="I487" s="57">
        <v>0</v>
      </c>
      <c r="J487" s="163">
        <f>I487*100/C487</f>
        <v>0</v>
      </c>
    </row>
    <row r="526" spans="2:10" x14ac:dyDescent="0.25">
      <c r="B526" s="270" t="s">
        <v>0</v>
      </c>
      <c r="C526" s="270"/>
      <c r="D526" s="270"/>
      <c r="E526" s="270"/>
      <c r="F526" s="270"/>
      <c r="G526" s="270"/>
      <c r="H526" s="270"/>
      <c r="I526" s="270"/>
      <c r="J526" s="270"/>
    </row>
    <row r="527" spans="2:10" x14ac:dyDescent="0.25">
      <c r="B527" s="270" t="s">
        <v>1</v>
      </c>
      <c r="C527" s="270"/>
      <c r="D527" s="270"/>
      <c r="E527" s="270"/>
      <c r="F527" s="270"/>
      <c r="G527" s="270"/>
      <c r="H527" s="270"/>
      <c r="I527" s="270"/>
      <c r="J527" s="270"/>
    </row>
    <row r="528" spans="2:10" x14ac:dyDescent="0.25">
      <c r="B528" s="270" t="s">
        <v>123</v>
      </c>
      <c r="C528" s="270"/>
      <c r="D528" s="270"/>
      <c r="E528" s="270"/>
      <c r="F528" s="270"/>
      <c r="G528" s="270"/>
      <c r="H528" s="270"/>
      <c r="I528" s="270"/>
      <c r="J528" s="270"/>
    </row>
    <row r="529" spans="2:10" ht="15.75" thickBot="1" x14ac:dyDescent="0.3"/>
    <row r="530" spans="2:10" ht="15.75" thickBot="1" x14ac:dyDescent="0.3">
      <c r="B530" s="119" t="s">
        <v>78</v>
      </c>
      <c r="C530" s="120" t="s">
        <v>68</v>
      </c>
      <c r="D530" s="165" t="s">
        <v>72</v>
      </c>
      <c r="E530" s="120" t="s">
        <v>69</v>
      </c>
      <c r="F530" s="165" t="s">
        <v>73</v>
      </c>
      <c r="G530" s="120" t="s">
        <v>8</v>
      </c>
      <c r="H530" s="165" t="s">
        <v>74</v>
      </c>
      <c r="I530" s="120" t="s">
        <v>70</v>
      </c>
      <c r="J530" s="166" t="s">
        <v>75</v>
      </c>
    </row>
    <row r="531" spans="2:10" ht="15.75" thickBot="1" x14ac:dyDescent="0.3">
      <c r="B531" s="56" t="s">
        <v>89</v>
      </c>
      <c r="C531" s="57">
        <v>31141934.350000001</v>
      </c>
      <c r="D531" s="162">
        <v>100</v>
      </c>
      <c r="E531" s="57">
        <v>31141934.350000001</v>
      </c>
      <c r="F531" s="162">
        <f>E531*100/C531</f>
        <v>100</v>
      </c>
      <c r="G531" s="57">
        <f>C531-E531+I531</f>
        <v>0</v>
      </c>
      <c r="H531" s="162">
        <f>G531*100/C531</f>
        <v>0</v>
      </c>
      <c r="I531" s="57">
        <v>0</v>
      </c>
      <c r="J531" s="163">
        <f>I531*100/C531</f>
        <v>0</v>
      </c>
    </row>
    <row r="570" spans="2:10" x14ac:dyDescent="0.25">
      <c r="B570" s="270" t="s">
        <v>0</v>
      </c>
      <c r="C570" s="270"/>
      <c r="D570" s="270"/>
      <c r="E570" s="270"/>
      <c r="F570" s="270"/>
      <c r="G570" s="270"/>
      <c r="H570" s="270"/>
      <c r="I570" s="270"/>
      <c r="J570" s="270"/>
    </row>
    <row r="571" spans="2:10" x14ac:dyDescent="0.25">
      <c r="B571" s="270" t="s">
        <v>1</v>
      </c>
      <c r="C571" s="270"/>
      <c r="D571" s="270"/>
      <c r="E571" s="270"/>
      <c r="F571" s="270"/>
      <c r="G571" s="270"/>
      <c r="H571" s="270"/>
      <c r="I571" s="270"/>
      <c r="J571" s="270"/>
    </row>
    <row r="572" spans="2:10" x14ac:dyDescent="0.25">
      <c r="B572" s="270" t="s">
        <v>123</v>
      </c>
      <c r="C572" s="270"/>
      <c r="D572" s="270"/>
      <c r="E572" s="270"/>
      <c r="F572" s="270"/>
      <c r="G572" s="270"/>
      <c r="H572" s="270"/>
      <c r="I572" s="270"/>
      <c r="J572" s="270"/>
    </row>
    <row r="573" spans="2:10" ht="15.75" thickBot="1" x14ac:dyDescent="0.3"/>
    <row r="574" spans="2:10" ht="15.75" thickBot="1" x14ac:dyDescent="0.3">
      <c r="B574" s="119" t="s">
        <v>78</v>
      </c>
      <c r="C574" s="120" t="s">
        <v>68</v>
      </c>
      <c r="D574" s="165" t="s">
        <v>72</v>
      </c>
      <c r="E574" s="120" t="s">
        <v>69</v>
      </c>
      <c r="F574" s="165" t="s">
        <v>73</v>
      </c>
      <c r="G574" s="120" t="s">
        <v>8</v>
      </c>
      <c r="H574" s="165" t="s">
        <v>74</v>
      </c>
      <c r="I574" s="120" t="s">
        <v>70</v>
      </c>
      <c r="J574" s="166" t="s">
        <v>75</v>
      </c>
    </row>
    <row r="575" spans="2:10" ht="15.75" thickBot="1" x14ac:dyDescent="0.3">
      <c r="B575" s="56" t="s">
        <v>90</v>
      </c>
      <c r="C575" s="57">
        <v>4129430.56</v>
      </c>
      <c r="D575" s="162">
        <v>100</v>
      </c>
      <c r="E575" s="57">
        <v>3095540.99</v>
      </c>
      <c r="F575" s="162">
        <f>E575*100/C575</f>
        <v>74.962902148910331</v>
      </c>
      <c r="G575" s="57">
        <f>C575-E575+I575</f>
        <v>1078008.6299999999</v>
      </c>
      <c r="H575" s="162">
        <f>G575*100/C575</f>
        <v>26.10550327307114</v>
      </c>
      <c r="I575" s="57">
        <v>44119.06</v>
      </c>
      <c r="J575" s="163">
        <f>I575*100/C575</f>
        <v>1.0684054219814754</v>
      </c>
    </row>
    <row r="603" spans="2:13" ht="15.75" thickBot="1" x14ac:dyDescent="0.3"/>
    <row r="604" spans="2:13" ht="62.25" thickBot="1" x14ac:dyDescent="0.95">
      <c r="B604" s="271" t="s">
        <v>96</v>
      </c>
      <c r="C604" s="272"/>
      <c r="D604" s="272"/>
      <c r="E604" s="272"/>
      <c r="F604" s="272"/>
      <c r="G604" s="272"/>
      <c r="H604" s="272"/>
      <c r="I604" s="272"/>
      <c r="J604" s="273"/>
      <c r="L604" s="200"/>
      <c r="M604" s="200"/>
    </row>
    <row r="606" spans="2:13" x14ac:dyDescent="0.25">
      <c r="B606" s="225" t="s">
        <v>0</v>
      </c>
      <c r="C606" s="225"/>
      <c r="D606" s="225"/>
      <c r="E606" s="225"/>
      <c r="F606" s="225"/>
      <c r="G606" s="225"/>
    </row>
    <row r="607" spans="2:13" x14ac:dyDescent="0.25">
      <c r="B607" s="225" t="s">
        <v>1</v>
      </c>
      <c r="C607" s="225"/>
      <c r="D607" s="225"/>
      <c r="E607" s="225"/>
      <c r="F607" s="225"/>
      <c r="G607" s="225"/>
    </row>
    <row r="608" spans="2:13" x14ac:dyDescent="0.25">
      <c r="B608" s="225" t="s">
        <v>3</v>
      </c>
      <c r="C608" s="225"/>
      <c r="D608" s="225"/>
      <c r="E608" s="225"/>
      <c r="F608" s="225"/>
      <c r="G608" s="225"/>
    </row>
    <row r="609" spans="2:13" x14ac:dyDescent="0.25">
      <c r="B609" s="225" t="s">
        <v>2</v>
      </c>
      <c r="C609" s="225"/>
      <c r="D609" s="225"/>
      <c r="E609" s="225"/>
      <c r="F609" s="225"/>
      <c r="G609" s="225"/>
    </row>
    <row r="610" spans="2:13" x14ac:dyDescent="0.25">
      <c r="B610" s="225" t="s">
        <v>124</v>
      </c>
      <c r="C610" s="225"/>
      <c r="D610" s="225"/>
      <c r="E610" s="225"/>
      <c r="F610" s="225"/>
      <c r="G610" s="225"/>
    </row>
    <row r="611" spans="2:13" ht="15.75" thickBot="1" x14ac:dyDescent="0.3"/>
    <row r="612" spans="2:13" ht="24.75" thickBot="1" x14ac:dyDescent="0.3">
      <c r="B612" s="2" t="s">
        <v>4</v>
      </c>
      <c r="C612" s="3" t="s">
        <v>5</v>
      </c>
      <c r="D612" s="3" t="s">
        <v>6</v>
      </c>
      <c r="E612" s="4" t="s">
        <v>7</v>
      </c>
      <c r="F612" s="3" t="s">
        <v>65</v>
      </c>
      <c r="G612" s="150" t="s">
        <v>8</v>
      </c>
    </row>
    <row r="613" spans="2:13" x14ac:dyDescent="0.25">
      <c r="B613" s="226" t="s">
        <v>9</v>
      </c>
      <c r="C613" s="229">
        <v>2004721.2</v>
      </c>
      <c r="D613" s="245">
        <v>1779588.82</v>
      </c>
      <c r="E613" s="229">
        <f>1830601.57-D613</f>
        <v>51012.75</v>
      </c>
      <c r="F613" s="256">
        <f>D613+E613</f>
        <v>1830601.57</v>
      </c>
      <c r="G613" s="254">
        <f>C613-D613-E613</f>
        <v>174119.62999999989</v>
      </c>
    </row>
    <row r="614" spans="2:13" ht="15.75" thickBot="1" x14ac:dyDescent="0.3">
      <c r="B614" s="227"/>
      <c r="C614" s="230"/>
      <c r="D614" s="234"/>
      <c r="E614" s="230"/>
      <c r="F614" s="257"/>
      <c r="G614" s="255"/>
    </row>
    <row r="615" spans="2:13" x14ac:dyDescent="0.25">
      <c r="B615" s="231" t="s">
        <v>10</v>
      </c>
      <c r="C615" s="230">
        <v>544770.55000000005</v>
      </c>
      <c r="D615" s="216">
        <v>166418.75</v>
      </c>
      <c r="E615" s="230">
        <f>322574.9-D615</f>
        <v>156156.15000000002</v>
      </c>
      <c r="F615" s="256">
        <f t="shared" ref="F615:F617" si="0">D615+E615</f>
        <v>322574.90000000002</v>
      </c>
      <c r="G615" s="254">
        <f>C615-D615-E615</f>
        <v>222195.65000000002</v>
      </c>
    </row>
    <row r="616" spans="2:13" ht="15.75" thickBot="1" x14ac:dyDescent="0.3">
      <c r="B616" s="231"/>
      <c r="C616" s="230"/>
      <c r="D616" s="234"/>
      <c r="E616" s="230"/>
      <c r="F616" s="257"/>
      <c r="G616" s="255"/>
    </row>
    <row r="617" spans="2:13" x14ac:dyDescent="0.25">
      <c r="B617" s="231" t="s">
        <v>11</v>
      </c>
      <c r="C617" s="230">
        <v>217000</v>
      </c>
      <c r="D617" s="216">
        <v>121591.67999999999</v>
      </c>
      <c r="E617" s="230">
        <f>162391.82-D617</f>
        <v>40800.140000000014</v>
      </c>
      <c r="F617" s="256">
        <f t="shared" si="0"/>
        <v>162391.82</v>
      </c>
      <c r="G617" s="254">
        <f>C617-D617-E617</f>
        <v>54608.179999999993</v>
      </c>
    </row>
    <row r="618" spans="2:13" ht="15.75" thickBot="1" x14ac:dyDescent="0.3">
      <c r="B618" s="231"/>
      <c r="C618" s="230"/>
      <c r="D618" s="234"/>
      <c r="E618" s="230"/>
      <c r="F618" s="257"/>
      <c r="G618" s="255"/>
    </row>
    <row r="619" spans="2:13" ht="30.75" thickBot="1" x14ac:dyDescent="0.3">
      <c r="B619" s="231" t="s">
        <v>12</v>
      </c>
      <c r="C619" s="230">
        <v>0</v>
      </c>
      <c r="D619" s="216">
        <v>0</v>
      </c>
      <c r="E619" s="230">
        <v>0</v>
      </c>
      <c r="F619" s="256">
        <f t="shared" ref="F619" si="1">D619+E619</f>
        <v>0</v>
      </c>
      <c r="G619" s="254">
        <f>C619-D619-E619</f>
        <v>0</v>
      </c>
      <c r="H619" s="155" t="s">
        <v>67</v>
      </c>
      <c r="I619" s="154" t="s">
        <v>60</v>
      </c>
      <c r="J619" s="120" t="s">
        <v>61</v>
      </c>
      <c r="K619" s="126" t="s">
        <v>66</v>
      </c>
      <c r="L619" s="127" t="s">
        <v>62</v>
      </c>
      <c r="M619" s="137" t="s">
        <v>63</v>
      </c>
    </row>
    <row r="620" spans="2:13" ht="15.75" thickBot="1" x14ac:dyDescent="0.3">
      <c r="B620" s="241"/>
      <c r="C620" s="236"/>
      <c r="D620" s="244"/>
      <c r="E620" s="236"/>
      <c r="F620" s="257"/>
      <c r="G620" s="230"/>
      <c r="H620" s="54">
        <v>100</v>
      </c>
      <c r="I620" s="73">
        <f>I621*100/H621</f>
        <v>74.737228115717315</v>
      </c>
      <c r="J620" s="73">
        <f>J621*100/H621</f>
        <v>8.9633030714803343</v>
      </c>
      <c r="K620" s="40">
        <f>K621*100/H621</f>
        <v>83.700531187197655</v>
      </c>
      <c r="L620" s="107">
        <f>L621*100/H621</f>
        <v>16.299468812802353</v>
      </c>
      <c r="M620" s="97">
        <f>M621*100/H621</f>
        <v>25.262771884282685</v>
      </c>
    </row>
    <row r="621" spans="2:13" ht="15.75" thickBot="1" x14ac:dyDescent="0.3">
      <c r="B621" s="5" t="s">
        <v>13</v>
      </c>
      <c r="C621" s="6">
        <f>SUM(C613:C620)</f>
        <v>2766491.75</v>
      </c>
      <c r="D621" s="7">
        <f t="shared" ref="D621:F621" si="2">SUM(D613:D620)</f>
        <v>2067599.25</v>
      </c>
      <c r="E621" s="8">
        <f t="shared" si="2"/>
        <v>247969.04000000004</v>
      </c>
      <c r="F621" s="7">
        <f t="shared" si="2"/>
        <v>2315568.29</v>
      </c>
      <c r="G621" s="151">
        <f>C621-D621-E621</f>
        <v>450923.45999999996</v>
      </c>
      <c r="H621" s="70">
        <f>+C621</f>
        <v>2766491.75</v>
      </c>
      <c r="I621" s="71">
        <f>+D621</f>
        <v>2067599.25</v>
      </c>
      <c r="J621" s="71">
        <f>+E621</f>
        <v>247969.04000000004</v>
      </c>
      <c r="K621" s="72">
        <f>D621+E621</f>
        <v>2315568.29</v>
      </c>
      <c r="L621" s="108">
        <f>+G621</f>
        <v>450923.45999999996</v>
      </c>
      <c r="M621" s="97">
        <f>H621-I621</f>
        <v>698892.5</v>
      </c>
    </row>
    <row r="622" spans="2:13" x14ac:dyDescent="0.25">
      <c r="B622" s="242" t="s">
        <v>14</v>
      </c>
      <c r="C622" s="243">
        <v>299237.15000000002</v>
      </c>
      <c r="D622" s="245">
        <v>168321.61</v>
      </c>
      <c r="E622" s="243">
        <f>171916.72-D622</f>
        <v>3595.1100000000151</v>
      </c>
      <c r="F622" s="256">
        <f>D622+E622</f>
        <v>171916.72</v>
      </c>
      <c r="G622" s="254">
        <f>C622-D622-E622</f>
        <v>127320.43000000002</v>
      </c>
    </row>
    <row r="623" spans="2:13" ht="15.75" thickBot="1" x14ac:dyDescent="0.3">
      <c r="B623" s="231"/>
      <c r="C623" s="230"/>
      <c r="D623" s="234"/>
      <c r="E623" s="230"/>
      <c r="F623" s="257"/>
      <c r="G623" s="255"/>
    </row>
    <row r="624" spans="2:13" x14ac:dyDescent="0.25">
      <c r="B624" s="231" t="s">
        <v>15</v>
      </c>
      <c r="C624" s="230">
        <v>187419.95</v>
      </c>
      <c r="D624" s="216">
        <v>47405.69</v>
      </c>
      <c r="E624" s="230">
        <f>86697.71-D624</f>
        <v>39292.020000000004</v>
      </c>
      <c r="F624" s="258">
        <f>E624+D624</f>
        <v>86697.71</v>
      </c>
      <c r="G624" s="254">
        <f>C624-D624-E624</f>
        <v>100722.24000000001</v>
      </c>
    </row>
    <row r="625" spans="2:13" ht="15.75" thickBot="1" x14ac:dyDescent="0.3">
      <c r="B625" s="231"/>
      <c r="C625" s="230"/>
      <c r="D625" s="234"/>
      <c r="E625" s="230"/>
      <c r="F625" s="257"/>
      <c r="G625" s="255"/>
    </row>
    <row r="626" spans="2:13" x14ac:dyDescent="0.25">
      <c r="B626" s="231" t="s">
        <v>16</v>
      </c>
      <c r="C626" s="230">
        <v>27420</v>
      </c>
      <c r="D626" s="216">
        <v>22713.75</v>
      </c>
      <c r="E626" s="230">
        <f>26992.36-D626</f>
        <v>4278.6100000000006</v>
      </c>
      <c r="F626" s="258">
        <f t="shared" ref="F626" si="3">E626+D626</f>
        <v>26992.36</v>
      </c>
      <c r="G626" s="254">
        <f>C626-D626-E626</f>
        <v>427.63999999999942</v>
      </c>
    </row>
    <row r="627" spans="2:13" ht="15.75" thickBot="1" x14ac:dyDescent="0.3">
      <c r="B627" s="231"/>
      <c r="C627" s="230"/>
      <c r="D627" s="234"/>
      <c r="E627" s="230"/>
      <c r="F627" s="257"/>
      <c r="G627" s="255"/>
    </row>
    <row r="628" spans="2:13" x14ac:dyDescent="0.25">
      <c r="B628" s="231" t="s">
        <v>17</v>
      </c>
      <c r="C628" s="230">
        <v>719843.48</v>
      </c>
      <c r="D628" s="216">
        <v>163848.17000000001</v>
      </c>
      <c r="E628" s="230">
        <f>543735.23-D628</f>
        <v>379887.05999999994</v>
      </c>
      <c r="F628" s="258">
        <f t="shared" ref="F628" si="4">E628+D628</f>
        <v>543735.23</v>
      </c>
      <c r="G628" s="254">
        <f>C628-D628-E628</f>
        <v>176108.25</v>
      </c>
    </row>
    <row r="629" spans="2:13" ht="15.75" thickBot="1" x14ac:dyDescent="0.3">
      <c r="B629" s="231"/>
      <c r="C629" s="230"/>
      <c r="D629" s="234"/>
      <c r="E629" s="230"/>
      <c r="F629" s="257"/>
      <c r="G629" s="255"/>
    </row>
    <row r="630" spans="2:13" x14ac:dyDescent="0.25">
      <c r="B630" s="231" t="s">
        <v>18</v>
      </c>
      <c r="C630" s="230">
        <v>2300</v>
      </c>
      <c r="D630" s="216">
        <v>0</v>
      </c>
      <c r="E630" s="230">
        <v>0</v>
      </c>
      <c r="F630" s="258">
        <f t="shared" ref="F630" si="5">E630+D630</f>
        <v>0</v>
      </c>
      <c r="G630" s="254">
        <f>C630-D630-E630</f>
        <v>2300</v>
      </c>
    </row>
    <row r="631" spans="2:13" ht="15.75" thickBot="1" x14ac:dyDescent="0.3">
      <c r="B631" s="231"/>
      <c r="C631" s="230"/>
      <c r="D631" s="234"/>
      <c r="E631" s="230"/>
      <c r="F631" s="257"/>
      <c r="G631" s="255"/>
    </row>
    <row r="632" spans="2:13" x14ac:dyDescent="0.25">
      <c r="B632" s="231" t="s">
        <v>19</v>
      </c>
      <c r="C632" s="230">
        <v>0</v>
      </c>
      <c r="D632" s="216">
        <v>0</v>
      </c>
      <c r="E632" s="230">
        <v>0</v>
      </c>
      <c r="F632" s="258">
        <f t="shared" ref="F632" si="6">E632+D632</f>
        <v>0</v>
      </c>
      <c r="G632" s="254">
        <f>C632-D632-E632</f>
        <v>0</v>
      </c>
    </row>
    <row r="633" spans="2:13" ht="15.75" thickBot="1" x14ac:dyDescent="0.3">
      <c r="B633" s="231"/>
      <c r="C633" s="230"/>
      <c r="D633" s="234"/>
      <c r="E633" s="230"/>
      <c r="F633" s="257"/>
      <c r="G633" s="255"/>
    </row>
    <row r="634" spans="2:13" x14ac:dyDescent="0.25">
      <c r="B634" s="231" t="s">
        <v>20</v>
      </c>
      <c r="C634" s="230">
        <v>0</v>
      </c>
      <c r="D634" s="216">
        <v>0</v>
      </c>
      <c r="E634" s="230">
        <v>0</v>
      </c>
      <c r="F634" s="258">
        <f t="shared" ref="F634" si="7">E634+D634</f>
        <v>0</v>
      </c>
      <c r="G634" s="254">
        <f>C634-D634-E634</f>
        <v>0</v>
      </c>
    </row>
    <row r="635" spans="2:13" ht="15.75" thickBot="1" x14ac:dyDescent="0.3">
      <c r="B635" s="231"/>
      <c r="C635" s="230"/>
      <c r="D635" s="234"/>
      <c r="E635" s="230"/>
      <c r="F635" s="257"/>
      <c r="G635" s="255"/>
    </row>
    <row r="636" spans="2:13" ht="30.75" thickBot="1" x14ac:dyDescent="0.3">
      <c r="B636" s="231" t="s">
        <v>21</v>
      </c>
      <c r="C636" s="230">
        <v>0</v>
      </c>
      <c r="D636" s="216">
        <v>0</v>
      </c>
      <c r="E636" s="230">
        <v>0</v>
      </c>
      <c r="F636" s="258">
        <f t="shared" ref="F636" si="8">E636+D636</f>
        <v>0</v>
      </c>
      <c r="G636" s="254">
        <f>C636-D636-E636</f>
        <v>0</v>
      </c>
      <c r="H636" s="155" t="s">
        <v>67</v>
      </c>
      <c r="I636" s="154" t="s">
        <v>60</v>
      </c>
      <c r="J636" s="120" t="s">
        <v>61</v>
      </c>
      <c r="K636" s="126" t="s">
        <v>66</v>
      </c>
      <c r="L636" s="133" t="s">
        <v>62</v>
      </c>
      <c r="M636" s="137" t="s">
        <v>63</v>
      </c>
    </row>
    <row r="637" spans="2:13" ht="15.75" thickBot="1" x14ac:dyDescent="0.3">
      <c r="B637" s="241"/>
      <c r="C637" s="236"/>
      <c r="D637" s="244"/>
      <c r="E637" s="236"/>
      <c r="F637" s="257"/>
      <c r="G637" s="255"/>
      <c r="H637" s="35">
        <v>100</v>
      </c>
      <c r="I637" s="38">
        <f>I638*100/C638</f>
        <v>32.541864009414887</v>
      </c>
      <c r="J637" s="38">
        <f>J638*100/C638</f>
        <v>34.54503240837488</v>
      </c>
      <c r="K637" s="31">
        <f>(D638+E638)*100/C638</f>
        <v>67.08689641778976</v>
      </c>
      <c r="L637" s="89">
        <f>G638*100/C638</f>
        <v>32.913103582210233</v>
      </c>
      <c r="M637" s="112">
        <f>M638*100/H638</f>
        <v>67.45813599058512</v>
      </c>
    </row>
    <row r="638" spans="2:13" ht="15.75" thickBot="1" x14ac:dyDescent="0.3">
      <c r="B638" s="5" t="s">
        <v>22</v>
      </c>
      <c r="C638" s="8">
        <f>SUM(C622:C637)</f>
        <v>1236220.58</v>
      </c>
      <c r="D638" s="7">
        <f t="shared" ref="D638:F638" si="9">SUM(D622:D637)</f>
        <v>402289.22</v>
      </c>
      <c r="E638" s="8">
        <f t="shared" si="9"/>
        <v>427052.79999999993</v>
      </c>
      <c r="F638" s="7">
        <f t="shared" si="9"/>
        <v>829342.02</v>
      </c>
      <c r="G638" s="151">
        <f>C638-D638-E638</f>
        <v>406878.56000000017</v>
      </c>
      <c r="H638" s="41">
        <f>K638+L638</f>
        <v>1236220.58</v>
      </c>
      <c r="I638" s="42">
        <f>+D638</f>
        <v>402289.22</v>
      </c>
      <c r="J638" s="42">
        <f>+E638</f>
        <v>427052.79999999993</v>
      </c>
      <c r="K638" s="43">
        <f>D638+E638</f>
        <v>829342.0199999999</v>
      </c>
      <c r="L638" s="109">
        <f>+G638</f>
        <v>406878.56000000017</v>
      </c>
      <c r="M638" s="97">
        <f>H638-I638</f>
        <v>833931.3600000001</v>
      </c>
    </row>
    <row r="639" spans="2:13" ht="15.75" thickBot="1" x14ac:dyDescent="0.3">
      <c r="B639" s="9" t="s">
        <v>23</v>
      </c>
      <c r="C639" s="10">
        <f>C621+C638</f>
        <v>4002712.33</v>
      </c>
      <c r="D639" s="11">
        <f t="shared" ref="D639" si="10">D621+D638</f>
        <v>2469888.4699999997</v>
      </c>
      <c r="E639" s="10">
        <f>E621+E638</f>
        <v>675021.84</v>
      </c>
      <c r="F639" s="11">
        <f>F621+F638</f>
        <v>3144910.31</v>
      </c>
      <c r="G639" s="152">
        <f>C639-D639-E639</f>
        <v>857802.02000000037</v>
      </c>
      <c r="H639" s="52">
        <f>H638+H621</f>
        <v>4002712.33</v>
      </c>
      <c r="I639" s="53">
        <f t="shared" ref="I639:L639" si="11">I638+I621</f>
        <v>2469888.4699999997</v>
      </c>
      <c r="J639" s="53">
        <f t="shared" si="11"/>
        <v>675021.84</v>
      </c>
      <c r="K639" s="53">
        <f t="shared" si="11"/>
        <v>3144910.31</v>
      </c>
      <c r="L639" s="110">
        <f t="shared" si="11"/>
        <v>857802.02000000014</v>
      </c>
      <c r="M639" s="97">
        <f>H639-I639</f>
        <v>1532823.8600000003</v>
      </c>
    </row>
    <row r="640" spans="2:13" ht="16.5" thickTop="1" thickBot="1" x14ac:dyDescent="0.3">
      <c r="B640" s="12"/>
      <c r="C640" s="13"/>
      <c r="D640" s="12"/>
      <c r="E640" s="13"/>
      <c r="F640" s="13"/>
      <c r="G640" s="12"/>
      <c r="H640" s="39">
        <v>100</v>
      </c>
      <c r="I640" s="40">
        <f>I639*100/H639</f>
        <v>61.705370418163419</v>
      </c>
      <c r="J640" s="40">
        <f>J639*100/H639</f>
        <v>16.864110741628039</v>
      </c>
      <c r="K640" s="40">
        <f>K639*100/H639</f>
        <v>78.569481159791465</v>
      </c>
      <c r="L640" s="107">
        <f>L639*100/H639</f>
        <v>21.430518840208538</v>
      </c>
      <c r="M640" s="97">
        <f>M639*100/H639</f>
        <v>38.294629581836581</v>
      </c>
    </row>
    <row r="641" spans="2:7" x14ac:dyDescent="0.25">
      <c r="B641" s="12"/>
      <c r="C641" s="13"/>
      <c r="D641" s="12"/>
      <c r="E641" s="12"/>
      <c r="F641" s="12"/>
      <c r="G641" s="12"/>
    </row>
    <row r="642" spans="2:7" x14ac:dyDescent="0.25">
      <c r="B642" s="12"/>
      <c r="C642" s="13"/>
      <c r="D642" s="12"/>
      <c r="E642" s="12"/>
      <c r="F642" s="12"/>
      <c r="G642" s="12"/>
    </row>
    <row r="643" spans="2:7" x14ac:dyDescent="0.25">
      <c r="B643" s="12"/>
      <c r="C643" s="13"/>
      <c r="D643" s="12"/>
      <c r="E643" s="12"/>
      <c r="F643" s="12"/>
      <c r="G643" s="13"/>
    </row>
    <row r="644" spans="2:7" x14ac:dyDescent="0.25">
      <c r="B644" s="12"/>
      <c r="C644" s="13"/>
      <c r="D644" s="12"/>
      <c r="E644" s="12"/>
      <c r="F644" s="12"/>
      <c r="G644" s="13"/>
    </row>
    <row r="645" spans="2:7" x14ac:dyDescent="0.25">
      <c r="B645" s="12"/>
      <c r="C645" s="13"/>
      <c r="D645" s="12"/>
      <c r="E645" s="12"/>
      <c r="F645" s="12"/>
      <c r="G645" s="13"/>
    </row>
    <row r="646" spans="2:7" x14ac:dyDescent="0.25">
      <c r="B646" s="12"/>
      <c r="C646" s="13"/>
      <c r="D646" s="12"/>
      <c r="E646" s="12"/>
      <c r="F646" s="12"/>
      <c r="G646" s="13"/>
    </row>
    <row r="647" spans="2:7" x14ac:dyDescent="0.25">
      <c r="B647" s="12"/>
      <c r="C647" s="13"/>
      <c r="D647" s="12"/>
      <c r="E647" s="12"/>
      <c r="F647" s="12"/>
      <c r="G647" s="13"/>
    </row>
    <row r="648" spans="2:7" x14ac:dyDescent="0.25">
      <c r="B648" s="12"/>
      <c r="C648" s="13"/>
      <c r="D648" s="12"/>
      <c r="E648" s="12"/>
      <c r="F648" s="12"/>
      <c r="G648" s="13"/>
    </row>
    <row r="649" spans="2:7" x14ac:dyDescent="0.25">
      <c r="B649" s="12"/>
      <c r="C649" s="13"/>
      <c r="D649" s="12"/>
      <c r="E649" s="12"/>
      <c r="F649" s="12"/>
      <c r="G649" s="13"/>
    </row>
    <row r="650" spans="2:7" x14ac:dyDescent="0.25">
      <c r="B650" s="12"/>
      <c r="C650" s="13"/>
      <c r="D650" s="12"/>
      <c r="E650" s="12"/>
      <c r="F650" s="12"/>
      <c r="G650" s="13"/>
    </row>
    <row r="651" spans="2:7" x14ac:dyDescent="0.25">
      <c r="B651" s="225" t="s">
        <v>0</v>
      </c>
      <c r="C651" s="225"/>
      <c r="D651" s="225"/>
      <c r="E651" s="225"/>
      <c r="F651" s="225"/>
      <c r="G651" s="225"/>
    </row>
    <row r="652" spans="2:7" x14ac:dyDescent="0.25">
      <c r="B652" s="225" t="s">
        <v>1</v>
      </c>
      <c r="C652" s="225"/>
      <c r="D652" s="225"/>
      <c r="E652" s="225"/>
      <c r="F652" s="225"/>
      <c r="G652" s="225"/>
    </row>
    <row r="653" spans="2:7" x14ac:dyDescent="0.25">
      <c r="B653" s="225" t="s">
        <v>3</v>
      </c>
      <c r="C653" s="225"/>
      <c r="D653" s="225"/>
      <c r="E653" s="225"/>
      <c r="F653" s="225"/>
      <c r="G653" s="225"/>
    </row>
    <row r="654" spans="2:7" x14ac:dyDescent="0.25">
      <c r="B654" s="225" t="s">
        <v>2</v>
      </c>
      <c r="C654" s="225"/>
      <c r="D654" s="225"/>
      <c r="E654" s="225"/>
      <c r="F654" s="225"/>
      <c r="G654" s="225"/>
    </row>
    <row r="655" spans="2:7" x14ac:dyDescent="0.25">
      <c r="B655" s="225" t="s">
        <v>124</v>
      </c>
      <c r="C655" s="225"/>
      <c r="D655" s="225"/>
      <c r="E655" s="225"/>
      <c r="F655" s="225"/>
      <c r="G655" s="225"/>
    </row>
    <row r="656" spans="2:7" ht="15.75" thickBot="1" x14ac:dyDescent="0.3">
      <c r="B656" s="202"/>
      <c r="C656" s="202"/>
      <c r="D656" s="202"/>
      <c r="E656" s="202"/>
      <c r="F656" s="202"/>
      <c r="G656" s="202"/>
    </row>
    <row r="657" spans="2:12" ht="36.75" thickBot="1" x14ac:dyDescent="0.3">
      <c r="B657" s="171" t="s">
        <v>4</v>
      </c>
      <c r="C657" s="172" t="s">
        <v>5</v>
      </c>
      <c r="D657" s="173" t="s">
        <v>72</v>
      </c>
      <c r="E657" s="172" t="s">
        <v>6</v>
      </c>
      <c r="F657" s="161" t="s">
        <v>60</v>
      </c>
      <c r="G657" s="172" t="s">
        <v>7</v>
      </c>
      <c r="H657" s="179" t="s">
        <v>98</v>
      </c>
      <c r="I657" s="172" t="s">
        <v>65</v>
      </c>
      <c r="J657" s="180" t="s">
        <v>99</v>
      </c>
      <c r="K657" s="177" t="s">
        <v>8</v>
      </c>
      <c r="L657" s="181" t="s">
        <v>100</v>
      </c>
    </row>
    <row r="658" spans="2:12" ht="15.75" thickBot="1" x14ac:dyDescent="0.3">
      <c r="B658" s="169" t="s">
        <v>122</v>
      </c>
      <c r="C658" s="170">
        <v>4002712.33</v>
      </c>
      <c r="D658" s="174">
        <v>1</v>
      </c>
      <c r="E658" s="170">
        <v>2469888.4699999997</v>
      </c>
      <c r="F658" s="175">
        <f>E658/C658</f>
        <v>0.61705370418163419</v>
      </c>
      <c r="G658" s="170">
        <v>675021.84</v>
      </c>
      <c r="H658" s="176">
        <f>G658/C658</f>
        <v>0.16864110741628038</v>
      </c>
      <c r="I658" s="57">
        <f>E658+G658</f>
        <v>3144910.3099999996</v>
      </c>
      <c r="J658" s="176">
        <f>I658/C658</f>
        <v>0.78569481159791454</v>
      </c>
      <c r="K658" s="101">
        <f>C658-I658</f>
        <v>857802.02000000048</v>
      </c>
      <c r="L658" s="178">
        <f>K658/C658</f>
        <v>0.21430518840208546</v>
      </c>
    </row>
    <row r="659" spans="2:12" x14ac:dyDescent="0.25">
      <c r="B659" s="12"/>
      <c r="C659" s="13"/>
      <c r="D659" s="12"/>
      <c r="E659" s="12"/>
      <c r="F659" s="12"/>
      <c r="G659" s="12"/>
    </row>
    <row r="660" spans="2:12" x14ac:dyDescent="0.25">
      <c r="B660" s="12"/>
      <c r="C660" s="13"/>
      <c r="D660" s="12"/>
      <c r="E660" s="12"/>
      <c r="F660" s="12"/>
      <c r="G660" s="12"/>
    </row>
    <row r="661" spans="2:12" x14ac:dyDescent="0.25">
      <c r="B661" s="12"/>
      <c r="C661" s="13"/>
      <c r="D661" s="12"/>
      <c r="E661" s="12"/>
      <c r="F661" s="12"/>
      <c r="G661" s="12"/>
    </row>
    <row r="662" spans="2:12" x14ac:dyDescent="0.25">
      <c r="B662" s="12"/>
      <c r="C662" s="13"/>
      <c r="D662" s="12"/>
      <c r="E662" s="12"/>
      <c r="F662" s="12"/>
      <c r="G662" s="12"/>
    </row>
    <row r="663" spans="2:12" x14ac:dyDescent="0.25">
      <c r="B663" s="12"/>
      <c r="C663" s="13"/>
      <c r="D663" s="12"/>
      <c r="E663" s="12"/>
      <c r="F663" s="12"/>
      <c r="G663" s="12"/>
    </row>
    <row r="664" spans="2:12" x14ac:dyDescent="0.25">
      <c r="B664" s="12"/>
      <c r="C664" s="13"/>
      <c r="D664" s="12"/>
      <c r="E664" s="12"/>
      <c r="F664" s="12"/>
      <c r="G664" s="12"/>
    </row>
    <row r="665" spans="2:12" x14ac:dyDescent="0.25">
      <c r="B665" s="12"/>
      <c r="C665" s="13"/>
      <c r="D665" s="12"/>
      <c r="E665" s="12"/>
      <c r="F665" s="12"/>
      <c r="G665" s="12"/>
    </row>
    <row r="666" spans="2:12" x14ac:dyDescent="0.25">
      <c r="B666" s="12"/>
      <c r="C666" s="13"/>
      <c r="D666" s="12"/>
      <c r="E666" s="12"/>
      <c r="F666" s="12"/>
      <c r="G666" s="12"/>
    </row>
    <row r="667" spans="2:12" x14ac:dyDescent="0.25">
      <c r="B667" s="12"/>
      <c r="C667" s="13"/>
      <c r="D667" s="12"/>
      <c r="E667" s="12"/>
      <c r="F667" s="12"/>
      <c r="G667" s="12"/>
    </row>
    <row r="668" spans="2:12" x14ac:dyDescent="0.25">
      <c r="B668" s="12"/>
      <c r="C668" s="13"/>
      <c r="D668" s="12"/>
      <c r="E668" s="12"/>
      <c r="F668" s="12"/>
      <c r="G668" s="12"/>
    </row>
    <row r="669" spans="2:12" x14ac:dyDescent="0.25">
      <c r="B669" s="12"/>
      <c r="C669" s="13"/>
      <c r="D669" s="12"/>
      <c r="E669" s="12"/>
      <c r="F669" s="12"/>
      <c r="G669" s="12"/>
    </row>
    <row r="670" spans="2:12" x14ac:dyDescent="0.25">
      <c r="B670" s="12"/>
      <c r="C670" s="13"/>
      <c r="D670" s="12"/>
      <c r="E670" s="12"/>
      <c r="F670" s="12"/>
      <c r="G670" s="12"/>
    </row>
    <row r="671" spans="2:12" x14ac:dyDescent="0.25">
      <c r="B671" s="12"/>
      <c r="C671" s="13"/>
      <c r="D671" s="12"/>
      <c r="E671" s="12"/>
      <c r="F671" s="12"/>
      <c r="G671" s="12"/>
    </row>
    <row r="672" spans="2:12" x14ac:dyDescent="0.25">
      <c r="B672" s="12"/>
      <c r="C672" s="13"/>
      <c r="D672" s="12"/>
      <c r="E672" s="12"/>
      <c r="F672" s="12"/>
      <c r="G672" s="12"/>
    </row>
    <row r="673" spans="2:7" x14ac:dyDescent="0.25">
      <c r="B673" s="12"/>
      <c r="C673" s="13"/>
      <c r="D673" s="12"/>
      <c r="E673" s="12"/>
      <c r="F673" s="12"/>
      <c r="G673" s="12"/>
    </row>
    <row r="674" spans="2:7" x14ac:dyDescent="0.25">
      <c r="B674" s="12"/>
      <c r="C674" s="13"/>
      <c r="D674" s="12"/>
      <c r="E674" s="12"/>
      <c r="F674" s="12"/>
      <c r="G674" s="12"/>
    </row>
    <row r="675" spans="2:7" x14ac:dyDescent="0.25">
      <c r="B675" s="12"/>
      <c r="C675" s="13"/>
      <c r="D675" s="12"/>
      <c r="E675" s="12"/>
      <c r="F675" s="12"/>
      <c r="G675" s="12"/>
    </row>
    <row r="676" spans="2:7" x14ac:dyDescent="0.25">
      <c r="B676" s="12"/>
      <c r="C676" s="13"/>
      <c r="D676" s="12"/>
      <c r="E676" s="12"/>
      <c r="F676" s="12"/>
      <c r="G676" s="12"/>
    </row>
    <row r="677" spans="2:7" x14ac:dyDescent="0.25">
      <c r="B677" s="12"/>
      <c r="C677" s="13"/>
      <c r="D677" s="12"/>
      <c r="E677" s="12"/>
      <c r="F677" s="12"/>
      <c r="G677" s="12"/>
    </row>
    <row r="678" spans="2:7" x14ac:dyDescent="0.25">
      <c r="B678" s="12"/>
      <c r="C678" s="13"/>
      <c r="D678" s="12"/>
      <c r="E678" s="12"/>
      <c r="F678" s="12"/>
      <c r="G678" s="12"/>
    </row>
    <row r="679" spans="2:7" x14ac:dyDescent="0.25">
      <c r="B679" s="12"/>
      <c r="C679" s="13"/>
      <c r="D679" s="12"/>
      <c r="E679" s="12"/>
      <c r="F679" s="12"/>
      <c r="G679" s="12"/>
    </row>
    <row r="680" spans="2:7" x14ac:dyDescent="0.25">
      <c r="B680" s="12"/>
      <c r="C680" s="13"/>
      <c r="D680" s="12"/>
      <c r="E680" s="12"/>
      <c r="F680" s="12"/>
      <c r="G680" s="12"/>
    </row>
    <row r="681" spans="2:7" x14ac:dyDescent="0.25">
      <c r="B681" s="12"/>
      <c r="C681" s="13"/>
      <c r="D681" s="12"/>
      <c r="E681" s="12"/>
      <c r="F681" s="12"/>
      <c r="G681" s="12"/>
    </row>
    <row r="682" spans="2:7" x14ac:dyDescent="0.25">
      <c r="B682" s="12"/>
      <c r="C682" s="13"/>
      <c r="D682" s="12"/>
      <c r="E682" s="12"/>
      <c r="F682" s="12"/>
      <c r="G682" s="12"/>
    </row>
    <row r="683" spans="2:7" x14ac:dyDescent="0.25">
      <c r="B683" s="12"/>
      <c r="C683" s="13"/>
      <c r="D683" s="12"/>
      <c r="E683" s="12"/>
      <c r="F683" s="12"/>
      <c r="G683" s="12"/>
    </row>
    <row r="684" spans="2:7" x14ac:dyDescent="0.25">
      <c r="B684" s="12"/>
      <c r="C684" s="13"/>
      <c r="D684" s="12"/>
      <c r="E684" s="12"/>
      <c r="F684" s="12"/>
      <c r="G684" s="12"/>
    </row>
    <row r="685" spans="2:7" x14ac:dyDescent="0.25">
      <c r="B685" s="12"/>
      <c r="C685" s="13"/>
      <c r="D685" s="12"/>
      <c r="E685" s="12"/>
      <c r="F685" s="12"/>
      <c r="G685" s="12"/>
    </row>
    <row r="686" spans="2:7" x14ac:dyDescent="0.25">
      <c r="B686" s="12"/>
      <c r="C686" s="13"/>
      <c r="D686" s="12"/>
      <c r="E686" s="12"/>
      <c r="F686" s="12"/>
      <c r="G686" s="12"/>
    </row>
    <row r="687" spans="2:7" x14ac:dyDescent="0.25">
      <c r="B687" s="12"/>
      <c r="C687" s="13"/>
      <c r="D687" s="12"/>
      <c r="E687" s="12"/>
      <c r="F687" s="12"/>
      <c r="G687" s="12"/>
    </row>
    <row r="688" spans="2:7" x14ac:dyDescent="0.25">
      <c r="B688" s="12"/>
      <c r="C688" s="13"/>
      <c r="D688" s="12"/>
      <c r="E688" s="12"/>
      <c r="F688" s="12"/>
      <c r="G688" s="12"/>
    </row>
    <row r="689" spans="2:7" x14ac:dyDescent="0.25">
      <c r="B689" s="12"/>
      <c r="C689" s="13"/>
      <c r="D689" s="12"/>
      <c r="E689" s="12"/>
      <c r="F689" s="12"/>
      <c r="G689" s="12"/>
    </row>
    <row r="690" spans="2:7" x14ac:dyDescent="0.25">
      <c r="B690" s="12"/>
      <c r="C690" s="13"/>
      <c r="D690" s="12"/>
      <c r="E690" s="12"/>
      <c r="F690" s="12"/>
      <c r="G690" s="12"/>
    </row>
    <row r="691" spans="2:7" x14ac:dyDescent="0.25">
      <c r="B691" s="12"/>
      <c r="C691" s="13"/>
      <c r="D691" s="12"/>
      <c r="E691" s="12"/>
      <c r="F691" s="12"/>
      <c r="G691" s="12"/>
    </row>
    <row r="692" spans="2:7" x14ac:dyDescent="0.25">
      <c r="B692" s="12"/>
      <c r="C692" s="13"/>
      <c r="D692" s="12"/>
      <c r="E692" s="12"/>
      <c r="F692" s="12"/>
      <c r="G692" s="12"/>
    </row>
    <row r="693" spans="2:7" x14ac:dyDescent="0.25">
      <c r="B693" s="12"/>
      <c r="C693" s="13"/>
      <c r="D693" s="12"/>
      <c r="E693" s="12"/>
      <c r="F693" s="12"/>
      <c r="G693" s="12"/>
    </row>
    <row r="694" spans="2:7" x14ac:dyDescent="0.25">
      <c r="B694" s="12"/>
      <c r="C694" s="13"/>
      <c r="D694" s="12"/>
      <c r="E694" s="12"/>
      <c r="F694" s="12"/>
      <c r="G694" s="12"/>
    </row>
    <row r="695" spans="2:7" x14ac:dyDescent="0.25">
      <c r="B695" s="12"/>
      <c r="C695" s="13"/>
      <c r="D695" s="12"/>
      <c r="E695" s="12"/>
      <c r="F695" s="12"/>
      <c r="G695" s="12"/>
    </row>
    <row r="696" spans="2:7" x14ac:dyDescent="0.25">
      <c r="B696" s="12"/>
      <c r="C696" s="13"/>
      <c r="D696" s="12"/>
      <c r="E696" s="12"/>
      <c r="F696" s="12"/>
      <c r="G696" s="12"/>
    </row>
    <row r="697" spans="2:7" x14ac:dyDescent="0.25">
      <c r="B697" s="12"/>
      <c r="C697" s="13"/>
      <c r="D697" s="12"/>
      <c r="E697" s="12"/>
      <c r="F697" s="12"/>
      <c r="G697" s="12"/>
    </row>
    <row r="698" spans="2:7" x14ac:dyDescent="0.25">
      <c r="B698" s="12"/>
      <c r="C698" s="13"/>
      <c r="D698" s="12"/>
      <c r="E698" s="12"/>
      <c r="F698" s="12"/>
      <c r="G698" s="12"/>
    </row>
    <row r="699" spans="2:7" x14ac:dyDescent="0.25">
      <c r="B699" s="12"/>
      <c r="C699" s="13"/>
      <c r="D699" s="12"/>
      <c r="E699" s="12"/>
      <c r="F699" s="12"/>
      <c r="G699" s="12"/>
    </row>
    <row r="700" spans="2:7" x14ac:dyDescent="0.25">
      <c r="B700" s="12"/>
      <c r="C700" s="13"/>
      <c r="D700" s="12"/>
      <c r="E700" s="12"/>
      <c r="F700" s="12"/>
      <c r="G700" s="12"/>
    </row>
    <row r="701" spans="2:7" x14ac:dyDescent="0.25">
      <c r="B701" s="12"/>
      <c r="C701" s="13"/>
      <c r="D701" s="12"/>
      <c r="E701" s="12"/>
      <c r="F701" s="12"/>
      <c r="G701" s="12"/>
    </row>
    <row r="702" spans="2:7" x14ac:dyDescent="0.25">
      <c r="B702" s="12"/>
      <c r="C702" s="13"/>
      <c r="D702" s="12"/>
      <c r="E702" s="12"/>
      <c r="F702" s="12"/>
      <c r="G702" s="12"/>
    </row>
    <row r="703" spans="2:7" x14ac:dyDescent="0.25">
      <c r="B703" s="12"/>
      <c r="C703" s="13"/>
      <c r="D703" s="12"/>
      <c r="E703" s="12"/>
      <c r="F703" s="12"/>
      <c r="G703" s="12"/>
    </row>
    <row r="704" spans="2:7" x14ac:dyDescent="0.25">
      <c r="B704" s="12"/>
      <c r="C704" s="13"/>
      <c r="D704" s="12"/>
      <c r="E704" s="12"/>
      <c r="F704" s="12"/>
      <c r="G704" s="12"/>
    </row>
    <row r="705" spans="2:13" x14ac:dyDescent="0.25">
      <c r="B705" s="225" t="s">
        <v>0</v>
      </c>
      <c r="C705" s="225"/>
      <c r="D705" s="225"/>
      <c r="E705" s="225"/>
      <c r="F705" s="225"/>
      <c r="G705" s="225"/>
    </row>
    <row r="706" spans="2:13" x14ac:dyDescent="0.25">
      <c r="B706" s="225" t="s">
        <v>1</v>
      </c>
      <c r="C706" s="225"/>
      <c r="D706" s="225"/>
      <c r="E706" s="225"/>
      <c r="F706" s="225"/>
      <c r="G706" s="225"/>
    </row>
    <row r="707" spans="2:13" x14ac:dyDescent="0.25">
      <c r="B707" s="225" t="s">
        <v>2</v>
      </c>
      <c r="C707" s="225"/>
      <c r="D707" s="225"/>
      <c r="E707" s="225"/>
      <c r="F707" s="225"/>
      <c r="G707" s="225"/>
    </row>
    <row r="708" spans="2:13" x14ac:dyDescent="0.25">
      <c r="B708" s="225" t="s">
        <v>24</v>
      </c>
      <c r="C708" s="225"/>
      <c r="D708" s="225"/>
      <c r="E708" s="225"/>
      <c r="F708" s="225"/>
      <c r="G708" s="225"/>
    </row>
    <row r="709" spans="2:13" x14ac:dyDescent="0.25">
      <c r="B709" s="225" t="s">
        <v>124</v>
      </c>
      <c r="C709" s="225"/>
      <c r="D709" s="225"/>
      <c r="E709" s="225"/>
      <c r="F709" s="225"/>
      <c r="G709" s="225"/>
    </row>
    <row r="710" spans="2:13" ht="15.75" thickBot="1" x14ac:dyDescent="0.3">
      <c r="B710" s="159"/>
      <c r="C710" s="159"/>
      <c r="D710" s="159"/>
      <c r="E710" s="159"/>
      <c r="F710" s="159"/>
      <c r="G710" s="12"/>
    </row>
    <row r="711" spans="2:13" ht="24.75" thickBot="1" x14ac:dyDescent="0.3">
      <c r="B711" s="2" t="s">
        <v>4</v>
      </c>
      <c r="C711" s="3" t="s">
        <v>5</v>
      </c>
      <c r="D711" s="3" t="s">
        <v>6</v>
      </c>
      <c r="E711" s="4" t="s">
        <v>7</v>
      </c>
      <c r="F711" s="3" t="s">
        <v>65</v>
      </c>
      <c r="G711" s="3" t="s">
        <v>8</v>
      </c>
    </row>
    <row r="712" spans="2:13" x14ac:dyDescent="0.25">
      <c r="B712" s="226" t="s">
        <v>25</v>
      </c>
      <c r="C712" s="229">
        <v>1070791.31</v>
      </c>
      <c r="D712" s="245">
        <v>948714.69</v>
      </c>
      <c r="E712" s="229">
        <f>969759.63-D712</f>
        <v>21044.940000000061</v>
      </c>
      <c r="F712" s="228">
        <f>D712+E712</f>
        <v>969759.63</v>
      </c>
      <c r="G712" s="228">
        <f>C712-D712-E712</f>
        <v>101031.68000000005</v>
      </c>
    </row>
    <row r="713" spans="2:13" ht="15.75" thickBot="1" x14ac:dyDescent="0.3">
      <c r="B713" s="227"/>
      <c r="C713" s="230"/>
      <c r="D713" s="234"/>
      <c r="E713" s="230"/>
      <c r="F713" s="215"/>
      <c r="G713" s="215"/>
    </row>
    <row r="714" spans="2:13" x14ac:dyDescent="0.25">
      <c r="B714" s="231" t="s">
        <v>26</v>
      </c>
      <c r="C714" s="230">
        <v>327346.03999999998</v>
      </c>
      <c r="D714" s="237">
        <v>121951.76</v>
      </c>
      <c r="E714" s="259">
        <f>166409.57-D714</f>
        <v>44457.810000000012</v>
      </c>
      <c r="F714" s="216">
        <f>D714+E714</f>
        <v>166409.57</v>
      </c>
      <c r="G714" s="228">
        <f>C714-D714-E714</f>
        <v>160936.46999999997</v>
      </c>
    </row>
    <row r="715" spans="2:13" ht="15.75" thickBot="1" x14ac:dyDescent="0.3">
      <c r="B715" s="231"/>
      <c r="C715" s="230"/>
      <c r="D715" s="251"/>
      <c r="E715" s="260"/>
      <c r="F715" s="217"/>
      <c r="G715" s="215"/>
    </row>
    <row r="716" spans="2:13" x14ac:dyDescent="0.25">
      <c r="B716" s="231" t="s">
        <v>27</v>
      </c>
      <c r="C716" s="230">
        <v>53300</v>
      </c>
      <c r="D716" s="237">
        <v>27693.21</v>
      </c>
      <c r="E716" s="259">
        <f>33956.32-D716</f>
        <v>6263.1100000000006</v>
      </c>
      <c r="F716" s="216">
        <f>D716+E716</f>
        <v>33956.32</v>
      </c>
      <c r="G716" s="228">
        <f>C716-D716-E716</f>
        <v>19343.68</v>
      </c>
    </row>
    <row r="717" spans="2:13" ht="15.75" thickBot="1" x14ac:dyDescent="0.3">
      <c r="B717" s="231"/>
      <c r="C717" s="230"/>
      <c r="D717" s="251"/>
      <c r="E717" s="260"/>
      <c r="F717" s="217"/>
      <c r="G717" s="215"/>
    </row>
    <row r="718" spans="2:13" ht="30.75" thickBot="1" x14ac:dyDescent="0.3">
      <c r="B718" s="231" t="s">
        <v>28</v>
      </c>
      <c r="C718" s="230">
        <v>0</v>
      </c>
      <c r="D718" s="237">
        <v>0</v>
      </c>
      <c r="E718" s="259">
        <f>C718-D718</f>
        <v>0</v>
      </c>
      <c r="F718" s="216">
        <f>D718+E718</f>
        <v>0</v>
      </c>
      <c r="G718" s="228">
        <f>C718-D718-E718</f>
        <v>0</v>
      </c>
      <c r="H718" s="155" t="s">
        <v>67</v>
      </c>
      <c r="I718" s="154" t="s">
        <v>60</v>
      </c>
      <c r="J718" s="120" t="s">
        <v>61</v>
      </c>
      <c r="K718" s="126" t="s">
        <v>66</v>
      </c>
      <c r="L718" s="133" t="s">
        <v>62</v>
      </c>
      <c r="M718" s="137" t="s">
        <v>63</v>
      </c>
    </row>
    <row r="719" spans="2:13" ht="15.75" thickBot="1" x14ac:dyDescent="0.3">
      <c r="B719" s="232"/>
      <c r="C719" s="236"/>
      <c r="D719" s="252"/>
      <c r="E719" s="262"/>
      <c r="F719" s="217"/>
      <c r="G719" s="239"/>
      <c r="H719" s="47">
        <v>100</v>
      </c>
      <c r="I719" s="37">
        <f>I720*100/H720</f>
        <v>75.673928330423621</v>
      </c>
      <c r="J719" s="37">
        <f>J720*100/H720</f>
        <v>4.944468323072992</v>
      </c>
      <c r="K719" s="37">
        <f>K720*100/H720</f>
        <v>80.618396653496617</v>
      </c>
      <c r="L719" s="102">
        <f>L720*100/H720</f>
        <v>19.381603346503386</v>
      </c>
      <c r="M719" s="112">
        <f>M720*100/H720</f>
        <v>24.326071669576379</v>
      </c>
    </row>
    <row r="720" spans="2:13" ht="15.75" thickBot="1" x14ac:dyDescent="0.3">
      <c r="B720" s="14" t="s">
        <v>13</v>
      </c>
      <c r="C720" s="15">
        <f>SUM(C712:C719)</f>
        <v>1451437.35</v>
      </c>
      <c r="D720" s="15">
        <f>SUM(D712:D719)</f>
        <v>1098359.6599999999</v>
      </c>
      <c r="E720" s="46">
        <f>SUM(E712:E719)</f>
        <v>71765.860000000073</v>
      </c>
      <c r="F720" s="16">
        <f>SUM(F712:F719)</f>
        <v>1170125.52</v>
      </c>
      <c r="G720" s="46">
        <f>C720-D720-E720</f>
        <v>281311.83000000007</v>
      </c>
      <c r="H720" s="44">
        <f>+C720</f>
        <v>1451437.35</v>
      </c>
      <c r="I720" s="45">
        <f>+D720</f>
        <v>1098359.6599999999</v>
      </c>
      <c r="J720" s="45">
        <f>+E720</f>
        <v>71765.860000000073</v>
      </c>
      <c r="K720" s="45">
        <f>I720+J720</f>
        <v>1170125.52</v>
      </c>
      <c r="L720" s="111">
        <f>+G720</f>
        <v>281311.83000000007</v>
      </c>
      <c r="M720" s="97">
        <f>H720-I720</f>
        <v>353077.69000000018</v>
      </c>
    </row>
    <row r="721" spans="2:13" x14ac:dyDescent="0.25">
      <c r="B721" s="224" t="s">
        <v>29</v>
      </c>
      <c r="C721" s="238">
        <v>72821.3</v>
      </c>
      <c r="D721" s="253">
        <v>53560.4</v>
      </c>
      <c r="E721" s="261">
        <f>54378.72-D721</f>
        <v>818.31999999999971</v>
      </c>
      <c r="F721" s="235">
        <f>D721+E721</f>
        <v>54378.720000000001</v>
      </c>
      <c r="G721" s="218">
        <f>C721-D721-E721</f>
        <v>18442.580000000002</v>
      </c>
    </row>
    <row r="722" spans="2:13" ht="15.75" thickBot="1" x14ac:dyDescent="0.3">
      <c r="B722" s="214"/>
      <c r="C722" s="239"/>
      <c r="D722" s="251"/>
      <c r="E722" s="260"/>
      <c r="F722" s="217"/>
      <c r="G722" s="219"/>
    </row>
    <row r="723" spans="2:13" x14ac:dyDescent="0.25">
      <c r="B723" s="214" t="s">
        <v>30</v>
      </c>
      <c r="C723" s="239">
        <v>93942.84</v>
      </c>
      <c r="D723" s="237">
        <v>7835.04</v>
      </c>
      <c r="E723" s="259">
        <f>72277.88-D723</f>
        <v>64442.840000000004</v>
      </c>
      <c r="F723" s="216">
        <f>D723+E723</f>
        <v>72277.88</v>
      </c>
      <c r="G723" s="218">
        <f>C723-D723-E723</f>
        <v>21664.959999999999</v>
      </c>
    </row>
    <row r="724" spans="2:13" ht="15.75" thickBot="1" x14ac:dyDescent="0.3">
      <c r="B724" s="214"/>
      <c r="C724" s="239"/>
      <c r="D724" s="251"/>
      <c r="E724" s="260"/>
      <c r="F724" s="217"/>
      <c r="G724" s="219"/>
    </row>
    <row r="725" spans="2:13" x14ac:dyDescent="0.25">
      <c r="B725" s="214" t="s">
        <v>31</v>
      </c>
      <c r="C725" s="239">
        <v>800</v>
      </c>
      <c r="D725" s="237">
        <v>335.09</v>
      </c>
      <c r="E725" s="259">
        <f>349.44-D725</f>
        <v>14.350000000000023</v>
      </c>
      <c r="F725" s="216">
        <f t="shared" ref="F725" si="12">D725+E725</f>
        <v>349.44</v>
      </c>
      <c r="G725" s="218">
        <f>C725-D725-E725</f>
        <v>450.56</v>
      </c>
    </row>
    <row r="726" spans="2:13" ht="15.75" thickBot="1" x14ac:dyDescent="0.3">
      <c r="B726" s="214"/>
      <c r="C726" s="239"/>
      <c r="D726" s="251"/>
      <c r="E726" s="260"/>
      <c r="F726" s="217"/>
      <c r="G726" s="219"/>
    </row>
    <row r="727" spans="2:13" x14ac:dyDescent="0.25">
      <c r="B727" s="214" t="s">
        <v>32</v>
      </c>
      <c r="C727" s="239">
        <v>200520.09</v>
      </c>
      <c r="D727" s="237">
        <v>39663.18</v>
      </c>
      <c r="E727" s="259">
        <f>119805.95-D727</f>
        <v>80142.76999999999</v>
      </c>
      <c r="F727" s="216">
        <f t="shared" ref="F727" si="13">D727+E727</f>
        <v>119805.94999999998</v>
      </c>
      <c r="G727" s="218">
        <f>C727-D727-E727</f>
        <v>80714.140000000014</v>
      </c>
    </row>
    <row r="728" spans="2:13" ht="15.75" thickBot="1" x14ac:dyDescent="0.3">
      <c r="B728" s="214"/>
      <c r="C728" s="239"/>
      <c r="D728" s="251"/>
      <c r="E728" s="260"/>
      <c r="F728" s="217"/>
      <c r="G728" s="219"/>
    </row>
    <row r="729" spans="2:13" x14ac:dyDescent="0.25">
      <c r="B729" s="214" t="s">
        <v>33</v>
      </c>
      <c r="C729" s="239">
        <v>0</v>
      </c>
      <c r="D729" s="237">
        <v>0</v>
      </c>
      <c r="E729" s="259">
        <f>C729-D729</f>
        <v>0</v>
      </c>
      <c r="F729" s="216">
        <f t="shared" ref="F729" si="14">D729+E729</f>
        <v>0</v>
      </c>
      <c r="G729" s="218">
        <f>C729-D729-E729</f>
        <v>0</v>
      </c>
    </row>
    <row r="730" spans="2:13" ht="15.75" thickBot="1" x14ac:dyDescent="0.3">
      <c r="B730" s="214"/>
      <c r="C730" s="239"/>
      <c r="D730" s="251"/>
      <c r="E730" s="260"/>
      <c r="F730" s="217"/>
      <c r="G730" s="219"/>
    </row>
    <row r="731" spans="2:13" x14ac:dyDescent="0.25">
      <c r="B731" s="214" t="s">
        <v>34</v>
      </c>
      <c r="C731" s="239">
        <v>0</v>
      </c>
      <c r="D731" s="237">
        <v>0</v>
      </c>
      <c r="E731" s="259">
        <f>C731-D731</f>
        <v>0</v>
      </c>
      <c r="F731" s="216">
        <f t="shared" ref="F731" si="15">D731+E731</f>
        <v>0</v>
      </c>
      <c r="G731" s="218">
        <f>C731-D731-E731</f>
        <v>0</v>
      </c>
    </row>
    <row r="732" spans="2:13" ht="15.75" thickBot="1" x14ac:dyDescent="0.3">
      <c r="B732" s="214"/>
      <c r="C732" s="239"/>
      <c r="D732" s="251"/>
      <c r="E732" s="260"/>
      <c r="F732" s="217"/>
      <c r="G732" s="219"/>
    </row>
    <row r="733" spans="2:13" x14ac:dyDescent="0.25">
      <c r="B733" s="214" t="s">
        <v>35</v>
      </c>
      <c r="C733" s="239">
        <v>0</v>
      </c>
      <c r="D733" s="237">
        <v>0</v>
      </c>
      <c r="E733" s="259">
        <f>C733-D733</f>
        <v>0</v>
      </c>
      <c r="F733" s="216">
        <f t="shared" ref="F733" si="16">D733+E733</f>
        <v>0</v>
      </c>
      <c r="G733" s="218">
        <f>C733-D733-E733</f>
        <v>0</v>
      </c>
    </row>
    <row r="734" spans="2:13" ht="15.75" thickBot="1" x14ac:dyDescent="0.3">
      <c r="B734" s="214"/>
      <c r="C734" s="239"/>
      <c r="D734" s="251"/>
      <c r="E734" s="260"/>
      <c r="F734" s="217"/>
      <c r="G734" s="219"/>
    </row>
    <row r="735" spans="2:13" ht="30.75" thickBot="1" x14ac:dyDescent="0.3">
      <c r="B735" s="214" t="s">
        <v>36</v>
      </c>
      <c r="C735" s="239">
        <v>0</v>
      </c>
      <c r="D735" s="237">
        <v>0</v>
      </c>
      <c r="E735" s="259">
        <f>C735-D735</f>
        <v>0</v>
      </c>
      <c r="F735" s="216">
        <f t="shared" ref="F735" si="17">D735+E735</f>
        <v>0</v>
      </c>
      <c r="G735" s="218">
        <f>C735-D735-E735</f>
        <v>0</v>
      </c>
      <c r="H735" s="155" t="s">
        <v>67</v>
      </c>
      <c r="I735" s="154" t="s">
        <v>60</v>
      </c>
      <c r="J735" s="120" t="s">
        <v>61</v>
      </c>
      <c r="K735" s="126" t="s">
        <v>66</v>
      </c>
      <c r="L735" s="133" t="s">
        <v>62</v>
      </c>
      <c r="M735" s="137" t="s">
        <v>63</v>
      </c>
    </row>
    <row r="736" spans="2:13" ht="15.75" thickBot="1" x14ac:dyDescent="0.3">
      <c r="B736" s="220"/>
      <c r="C736" s="240"/>
      <c r="D736" s="252"/>
      <c r="E736" s="260"/>
      <c r="F736" s="217"/>
      <c r="G736" s="219"/>
      <c r="H736" s="30">
        <v>100</v>
      </c>
      <c r="I736" s="38">
        <f>I737*100/H737</f>
        <v>27.546333620432478</v>
      </c>
      <c r="J736" s="38">
        <f>J737*100/H737</f>
        <v>39.506794409529583</v>
      </c>
      <c r="K736" s="31">
        <f>(D737+E737)*100/C737</f>
        <v>67.053128029962053</v>
      </c>
      <c r="L736" s="89">
        <f>G737*100/C737</f>
        <v>32.946871970037954</v>
      </c>
      <c r="M736" s="112">
        <f>M737*100/H737</f>
        <v>72.453666379567522</v>
      </c>
    </row>
    <row r="737" spans="2:13" ht="15.75" thickBot="1" x14ac:dyDescent="0.3">
      <c r="B737" s="14" t="s">
        <v>22</v>
      </c>
      <c r="C737" s="15">
        <f>SUM(C721:C736)</f>
        <v>368084.23</v>
      </c>
      <c r="D737" s="15">
        <f>SUM(D721:D735)</f>
        <v>101393.70999999999</v>
      </c>
      <c r="E737" s="46">
        <f>SUM(E721:E736)</f>
        <v>145418.28</v>
      </c>
      <c r="F737" s="16">
        <f>SUM(F721:F736)</f>
        <v>246811.99</v>
      </c>
      <c r="G737" s="27">
        <f>C737-D737-E737</f>
        <v>121272.24000000002</v>
      </c>
      <c r="H737" s="41">
        <f>K737+L737</f>
        <v>368084.23</v>
      </c>
      <c r="I737" s="42">
        <f>+D737</f>
        <v>101393.70999999999</v>
      </c>
      <c r="J737" s="42">
        <f>+E737</f>
        <v>145418.28</v>
      </c>
      <c r="K737" s="43">
        <f>D737+E737</f>
        <v>246811.99</v>
      </c>
      <c r="L737" s="109">
        <f>+G737</f>
        <v>121272.24000000002</v>
      </c>
      <c r="M737" s="97">
        <f>H737-I737</f>
        <v>266690.52</v>
      </c>
    </row>
    <row r="738" spans="2:13" ht="15.75" thickBot="1" x14ac:dyDescent="0.3">
      <c r="B738" s="17" t="s">
        <v>23</v>
      </c>
      <c r="C738" s="18">
        <f>C720+C737</f>
        <v>1819521.58</v>
      </c>
      <c r="D738" s="19">
        <f>D737+D720</f>
        <v>1199753.3699999999</v>
      </c>
      <c r="E738" s="28">
        <f>E720+E737</f>
        <v>217184.14000000007</v>
      </c>
      <c r="F738" s="20">
        <f>F720+F737</f>
        <v>1416937.51</v>
      </c>
      <c r="G738" s="28">
        <f>C738-D738-E738</f>
        <v>402584.07000000012</v>
      </c>
      <c r="H738" s="52">
        <f>+C738</f>
        <v>1819521.58</v>
      </c>
      <c r="I738" s="53">
        <f>+D738</f>
        <v>1199753.3699999999</v>
      </c>
      <c r="J738" s="53">
        <f>+E738</f>
        <v>217184.14000000007</v>
      </c>
      <c r="K738" s="53">
        <f>I738+J738</f>
        <v>1416937.51</v>
      </c>
      <c r="L738" s="110">
        <f>+G738</f>
        <v>402584.07000000012</v>
      </c>
      <c r="M738" s="97">
        <f>H738-I738</f>
        <v>619768.2100000002</v>
      </c>
    </row>
    <row r="739" spans="2:13" ht="15.75" thickBot="1" x14ac:dyDescent="0.3">
      <c r="B739" s="12"/>
      <c r="C739" s="13"/>
      <c r="D739" s="12"/>
      <c r="E739" s="12"/>
      <c r="F739" s="12"/>
      <c r="G739" s="160"/>
      <c r="H739" s="54">
        <v>100</v>
      </c>
      <c r="I739" s="40">
        <f>I738*100/H738</f>
        <v>65.937847794033843</v>
      </c>
      <c r="J739" s="40">
        <f>J738*100/H738</f>
        <v>11.93633218683782</v>
      </c>
      <c r="K739" s="40">
        <f>K738*100/H738</f>
        <v>77.874179980871673</v>
      </c>
      <c r="L739" s="107">
        <f>L738*100/H738</f>
        <v>22.125820019128334</v>
      </c>
      <c r="M739" s="99">
        <f>M738*100/H738</f>
        <v>34.06215220596615</v>
      </c>
    </row>
    <row r="740" spans="2:13" x14ac:dyDescent="0.25">
      <c r="B740" s="12"/>
      <c r="C740" s="13"/>
      <c r="D740" s="12"/>
      <c r="E740" s="12"/>
      <c r="F740" s="12"/>
      <c r="G740" s="12"/>
    </row>
    <row r="741" spans="2:13" x14ac:dyDescent="0.25">
      <c r="B741" s="12"/>
      <c r="C741" s="13"/>
      <c r="D741" s="12"/>
      <c r="E741" s="12"/>
      <c r="F741" s="12"/>
      <c r="G741" s="12"/>
    </row>
    <row r="742" spans="2:13" x14ac:dyDescent="0.25">
      <c r="B742" s="12"/>
      <c r="C742" s="13"/>
      <c r="D742" s="12"/>
      <c r="E742" s="12"/>
      <c r="F742" s="12"/>
      <c r="G742" s="12"/>
    </row>
    <row r="743" spans="2:13" x14ac:dyDescent="0.25">
      <c r="B743" s="12"/>
      <c r="C743" s="13"/>
      <c r="D743" s="12"/>
      <c r="E743" s="12"/>
      <c r="F743" s="12"/>
      <c r="G743" s="12"/>
    </row>
    <row r="744" spans="2:13" x14ac:dyDescent="0.25">
      <c r="B744" s="12"/>
      <c r="C744" s="13"/>
      <c r="D744" s="12"/>
      <c r="E744" s="12"/>
      <c r="F744" s="12"/>
      <c r="G744" s="12"/>
    </row>
    <row r="745" spans="2:13" x14ac:dyDescent="0.25">
      <c r="B745" s="12"/>
      <c r="C745" s="13"/>
      <c r="D745" s="12"/>
      <c r="E745" s="12"/>
      <c r="F745" s="12"/>
      <c r="G745" s="12"/>
    </row>
    <row r="746" spans="2:13" x14ac:dyDescent="0.25">
      <c r="B746" s="12"/>
      <c r="C746" s="13"/>
      <c r="D746" s="12"/>
      <c r="E746" s="12"/>
      <c r="F746" s="12"/>
      <c r="G746" s="12"/>
    </row>
    <row r="747" spans="2:13" x14ac:dyDescent="0.25">
      <c r="B747" s="12"/>
      <c r="C747" s="13"/>
      <c r="D747" s="12"/>
      <c r="E747" s="12"/>
      <c r="F747" s="12"/>
      <c r="G747" s="12"/>
    </row>
    <row r="748" spans="2:13" x14ac:dyDescent="0.25">
      <c r="B748" s="12"/>
      <c r="C748" s="13"/>
      <c r="D748" s="12"/>
      <c r="E748" s="12"/>
      <c r="F748" s="12"/>
      <c r="G748" s="12"/>
    </row>
    <row r="749" spans="2:13" x14ac:dyDescent="0.25">
      <c r="B749" s="12"/>
      <c r="C749" s="13"/>
      <c r="D749" s="12"/>
      <c r="E749" s="12"/>
      <c r="F749" s="12"/>
      <c r="G749" s="12"/>
    </row>
    <row r="750" spans="2:13" x14ac:dyDescent="0.25">
      <c r="B750" s="12"/>
      <c r="C750" s="13"/>
      <c r="D750" s="12"/>
      <c r="E750" s="12"/>
      <c r="F750" s="12"/>
      <c r="G750" s="12"/>
    </row>
    <row r="751" spans="2:13" x14ac:dyDescent="0.25">
      <c r="B751" s="12"/>
      <c r="C751" s="13"/>
      <c r="D751" s="12"/>
      <c r="E751" s="12"/>
      <c r="F751" s="12"/>
      <c r="G751" s="12"/>
    </row>
    <row r="752" spans="2:13" x14ac:dyDescent="0.25">
      <c r="B752" s="12"/>
      <c r="C752" s="13"/>
      <c r="D752" s="12"/>
      <c r="E752" s="12"/>
      <c r="F752" s="12"/>
      <c r="G752" s="12"/>
    </row>
    <row r="753" spans="2:12" x14ac:dyDescent="0.25">
      <c r="B753" s="12"/>
      <c r="C753" s="13"/>
      <c r="D753" s="12"/>
      <c r="E753" s="12"/>
      <c r="F753" s="12"/>
      <c r="G753" s="12"/>
    </row>
    <row r="754" spans="2:12" x14ac:dyDescent="0.25">
      <c r="B754" s="12"/>
      <c r="C754" s="13"/>
      <c r="D754" s="12"/>
      <c r="E754" s="12"/>
      <c r="F754" s="12"/>
      <c r="G754" s="12"/>
    </row>
    <row r="755" spans="2:12" x14ac:dyDescent="0.25">
      <c r="B755" s="12"/>
      <c r="C755" s="13"/>
      <c r="D755" s="12"/>
      <c r="E755" s="12"/>
      <c r="F755" s="12"/>
      <c r="G755" s="12"/>
    </row>
    <row r="756" spans="2:12" x14ac:dyDescent="0.25">
      <c r="B756" s="12"/>
      <c r="C756" s="13"/>
      <c r="D756" s="12"/>
      <c r="E756" s="12"/>
      <c r="F756" s="12"/>
      <c r="G756" s="12"/>
    </row>
    <row r="757" spans="2:12" x14ac:dyDescent="0.25">
      <c r="B757" s="225" t="s">
        <v>0</v>
      </c>
      <c r="C757" s="225"/>
      <c r="D757" s="225"/>
      <c r="E757" s="225"/>
      <c r="F757" s="225"/>
      <c r="G757" s="225"/>
    </row>
    <row r="758" spans="2:12" x14ac:dyDescent="0.25">
      <c r="B758" s="225" t="s">
        <v>1</v>
      </c>
      <c r="C758" s="225"/>
      <c r="D758" s="225"/>
      <c r="E758" s="225"/>
      <c r="F758" s="225"/>
      <c r="G758" s="225"/>
    </row>
    <row r="759" spans="2:12" x14ac:dyDescent="0.25">
      <c r="B759" s="225" t="s">
        <v>2</v>
      </c>
      <c r="C759" s="225"/>
      <c r="D759" s="225"/>
      <c r="E759" s="225"/>
      <c r="F759" s="225"/>
      <c r="G759" s="225"/>
    </row>
    <row r="760" spans="2:12" x14ac:dyDescent="0.25">
      <c r="B760" s="225" t="s">
        <v>24</v>
      </c>
      <c r="C760" s="225"/>
      <c r="D760" s="225"/>
      <c r="E760" s="225"/>
      <c r="F760" s="225"/>
      <c r="G760" s="225"/>
    </row>
    <row r="761" spans="2:12" x14ac:dyDescent="0.25">
      <c r="B761" s="225" t="s">
        <v>124</v>
      </c>
      <c r="C761" s="225"/>
      <c r="D761" s="225"/>
      <c r="E761" s="225"/>
      <c r="F761" s="225"/>
      <c r="G761" s="225"/>
    </row>
    <row r="762" spans="2:12" ht="15.75" thickBot="1" x14ac:dyDescent="0.3">
      <c r="B762" s="202"/>
      <c r="C762" s="202"/>
      <c r="D762" s="202"/>
      <c r="E762" s="202"/>
      <c r="F762" s="202"/>
      <c r="G762" s="202"/>
    </row>
    <row r="763" spans="2:12" ht="36.75" thickBot="1" x14ac:dyDescent="0.3">
      <c r="B763" s="171" t="s">
        <v>4</v>
      </c>
      <c r="C763" s="172" t="s">
        <v>5</v>
      </c>
      <c r="D763" s="173" t="s">
        <v>72</v>
      </c>
      <c r="E763" s="172" t="s">
        <v>6</v>
      </c>
      <c r="F763" s="161" t="s">
        <v>60</v>
      </c>
      <c r="G763" s="172" t="s">
        <v>7</v>
      </c>
      <c r="H763" s="179" t="s">
        <v>98</v>
      </c>
      <c r="I763" s="172" t="s">
        <v>65</v>
      </c>
      <c r="J763" s="180" t="s">
        <v>99</v>
      </c>
      <c r="K763" s="177" t="s">
        <v>8</v>
      </c>
      <c r="L763" s="181" t="s">
        <v>100</v>
      </c>
    </row>
    <row r="764" spans="2:12" ht="15.75" thickBot="1" x14ac:dyDescent="0.3">
      <c r="B764" s="183" t="s">
        <v>121</v>
      </c>
      <c r="C764" s="182">
        <v>1819521.58</v>
      </c>
      <c r="D764" s="174">
        <v>1</v>
      </c>
      <c r="E764" s="170">
        <v>1199753.3700000001</v>
      </c>
      <c r="F764" s="175">
        <f>E764/C764</f>
        <v>0.65937847794033866</v>
      </c>
      <c r="G764" s="170">
        <v>217184.14</v>
      </c>
      <c r="H764" s="176">
        <f>G764/C764</f>
        <v>0.11936332186837817</v>
      </c>
      <c r="I764" s="57">
        <f>E764+G764</f>
        <v>1416937.5100000002</v>
      </c>
      <c r="J764" s="176">
        <f>I764/C764</f>
        <v>0.77874179980871683</v>
      </c>
      <c r="K764" s="101">
        <f>C764-I764</f>
        <v>402584.06999999983</v>
      </c>
      <c r="L764" s="178">
        <f>K764/C764</f>
        <v>0.22125820019128314</v>
      </c>
    </row>
    <row r="765" spans="2:12" x14ac:dyDescent="0.25">
      <c r="B765" s="12"/>
      <c r="C765" s="13"/>
      <c r="D765" s="12"/>
      <c r="E765" s="12"/>
      <c r="F765" s="12"/>
      <c r="G765" s="12"/>
    </row>
    <row r="766" spans="2:12" x14ac:dyDescent="0.25">
      <c r="B766" s="12"/>
      <c r="C766" s="13"/>
      <c r="D766" s="12"/>
      <c r="E766" s="12"/>
      <c r="F766" s="12"/>
      <c r="G766" s="12"/>
    </row>
    <row r="767" spans="2:12" x14ac:dyDescent="0.25">
      <c r="B767" s="12"/>
      <c r="C767" s="13"/>
      <c r="D767" s="12"/>
      <c r="E767" s="12"/>
      <c r="F767" s="12"/>
      <c r="G767" s="12"/>
    </row>
    <row r="768" spans="2:12" x14ac:dyDescent="0.25">
      <c r="B768" s="12"/>
      <c r="C768" s="13"/>
      <c r="D768" s="12"/>
      <c r="E768" s="12"/>
      <c r="F768" s="12"/>
      <c r="G768" s="12"/>
    </row>
    <row r="769" spans="2:7" x14ac:dyDescent="0.25">
      <c r="B769" s="12"/>
      <c r="C769" s="13"/>
      <c r="D769" s="12"/>
      <c r="E769" s="12"/>
      <c r="F769" s="12"/>
      <c r="G769" s="12"/>
    </row>
    <row r="770" spans="2:7" x14ac:dyDescent="0.25">
      <c r="B770" s="12"/>
      <c r="C770" s="13"/>
      <c r="D770" s="12"/>
      <c r="E770" s="12"/>
      <c r="F770" s="12"/>
      <c r="G770" s="12"/>
    </row>
    <row r="771" spans="2:7" x14ac:dyDescent="0.25">
      <c r="B771" s="12"/>
      <c r="C771" s="13"/>
      <c r="D771" s="12"/>
      <c r="E771" s="12"/>
      <c r="F771" s="12"/>
      <c r="G771" s="12"/>
    </row>
    <row r="772" spans="2:7" x14ac:dyDescent="0.25">
      <c r="B772" s="12"/>
      <c r="C772" s="13"/>
      <c r="D772" s="12"/>
      <c r="E772" s="12"/>
      <c r="F772" s="12"/>
      <c r="G772" s="12"/>
    </row>
    <row r="773" spans="2:7" x14ac:dyDescent="0.25">
      <c r="B773" s="12"/>
      <c r="C773" s="13"/>
      <c r="D773" s="12"/>
      <c r="E773" s="12"/>
      <c r="F773" s="12"/>
      <c r="G773" s="12"/>
    </row>
    <row r="774" spans="2:7" x14ac:dyDescent="0.25">
      <c r="B774" s="12"/>
      <c r="C774" s="13"/>
      <c r="D774" s="12"/>
      <c r="E774" s="12"/>
      <c r="F774" s="12"/>
      <c r="G774" s="12"/>
    </row>
    <row r="775" spans="2:7" x14ac:dyDescent="0.25">
      <c r="B775" s="12"/>
      <c r="C775" s="13"/>
      <c r="D775" s="12"/>
      <c r="E775" s="12"/>
      <c r="F775" s="12"/>
      <c r="G775" s="12"/>
    </row>
    <row r="776" spans="2:7" x14ac:dyDescent="0.25">
      <c r="B776" s="12"/>
      <c r="C776" s="13"/>
      <c r="D776" s="12"/>
      <c r="E776" s="12"/>
      <c r="F776" s="12"/>
      <c r="G776" s="12"/>
    </row>
    <row r="777" spans="2:7" x14ac:dyDescent="0.25">
      <c r="B777" s="12"/>
      <c r="C777" s="13"/>
      <c r="D777" s="12"/>
      <c r="E777" s="12"/>
      <c r="F777" s="12"/>
      <c r="G777" s="12"/>
    </row>
    <row r="778" spans="2:7" x14ac:dyDescent="0.25">
      <c r="B778" s="12"/>
      <c r="C778" s="13"/>
      <c r="D778" s="12"/>
      <c r="E778" s="12"/>
      <c r="F778" s="12"/>
      <c r="G778" s="12"/>
    </row>
    <row r="779" spans="2:7" x14ac:dyDescent="0.25">
      <c r="B779" s="12"/>
      <c r="C779" s="13"/>
      <c r="D779" s="12"/>
      <c r="E779" s="12"/>
      <c r="F779" s="12"/>
      <c r="G779" s="12"/>
    </row>
    <row r="780" spans="2:7" x14ac:dyDescent="0.25">
      <c r="B780" s="12"/>
      <c r="C780" s="13"/>
      <c r="D780" s="12"/>
      <c r="E780" s="12"/>
      <c r="F780" s="12"/>
      <c r="G780" s="12"/>
    </row>
    <row r="781" spans="2:7" x14ac:dyDescent="0.25">
      <c r="B781" s="12"/>
      <c r="C781" s="13"/>
      <c r="D781" s="12"/>
      <c r="E781" s="12"/>
      <c r="F781" s="12"/>
      <c r="G781" s="12"/>
    </row>
    <row r="782" spans="2:7" x14ac:dyDescent="0.25">
      <c r="B782" s="12"/>
      <c r="C782" s="13"/>
      <c r="D782" s="12"/>
      <c r="E782" s="12"/>
      <c r="F782" s="12"/>
      <c r="G782" s="12"/>
    </row>
    <row r="783" spans="2:7" x14ac:dyDescent="0.25">
      <c r="B783" s="12"/>
      <c r="C783" s="13"/>
      <c r="D783" s="12"/>
      <c r="E783" s="12"/>
      <c r="F783" s="12"/>
      <c r="G783" s="12"/>
    </row>
    <row r="784" spans="2:7" x14ac:dyDescent="0.25">
      <c r="B784" s="12"/>
      <c r="C784" s="13"/>
      <c r="D784" s="12"/>
      <c r="E784" s="12"/>
      <c r="F784" s="12"/>
      <c r="G784" s="12"/>
    </row>
    <row r="785" spans="2:7" x14ac:dyDescent="0.25">
      <c r="B785" s="12"/>
      <c r="C785" s="13"/>
      <c r="D785" s="12"/>
      <c r="E785" s="12"/>
      <c r="F785" s="12"/>
      <c r="G785" s="12"/>
    </row>
    <row r="786" spans="2:7" x14ac:dyDescent="0.25">
      <c r="B786" s="12"/>
      <c r="C786" s="13"/>
      <c r="D786" s="12"/>
      <c r="E786" s="12"/>
      <c r="F786" s="12"/>
      <c r="G786" s="12"/>
    </row>
    <row r="787" spans="2:7" x14ac:dyDescent="0.25">
      <c r="B787" s="12"/>
      <c r="C787" s="13"/>
      <c r="D787" s="12"/>
      <c r="E787" s="12"/>
      <c r="F787" s="12"/>
      <c r="G787" s="12"/>
    </row>
    <row r="788" spans="2:7" x14ac:dyDescent="0.25">
      <c r="B788" s="12"/>
      <c r="C788" s="13"/>
      <c r="D788" s="12"/>
      <c r="E788" s="12"/>
      <c r="F788" s="12"/>
      <c r="G788" s="12"/>
    </row>
    <row r="789" spans="2:7" x14ac:dyDescent="0.25">
      <c r="B789" s="12"/>
      <c r="C789" s="13"/>
      <c r="D789" s="12"/>
      <c r="E789" s="12"/>
      <c r="F789" s="12"/>
      <c r="G789" s="12"/>
    </row>
    <row r="790" spans="2:7" x14ac:dyDescent="0.25">
      <c r="B790" s="12"/>
      <c r="C790" s="13"/>
      <c r="D790" s="12"/>
      <c r="E790" s="12"/>
      <c r="F790" s="12"/>
      <c r="G790" s="12"/>
    </row>
    <row r="791" spans="2:7" x14ac:dyDescent="0.25">
      <c r="B791" s="12"/>
      <c r="C791" s="13"/>
      <c r="D791" s="12"/>
      <c r="E791" s="12"/>
      <c r="F791" s="12"/>
      <c r="G791" s="12"/>
    </row>
    <row r="792" spans="2:7" x14ac:dyDescent="0.25">
      <c r="B792" s="12"/>
      <c r="C792" s="13"/>
      <c r="D792" s="12"/>
      <c r="E792" s="12"/>
      <c r="F792" s="12"/>
      <c r="G792" s="12"/>
    </row>
    <row r="793" spans="2:7" x14ac:dyDescent="0.25">
      <c r="B793" s="12"/>
      <c r="C793" s="13"/>
      <c r="D793" s="12"/>
      <c r="E793" s="12"/>
      <c r="F793" s="12"/>
      <c r="G793" s="12"/>
    </row>
    <row r="794" spans="2:7" x14ac:dyDescent="0.25">
      <c r="B794" s="12"/>
      <c r="C794" s="13"/>
      <c r="D794" s="12"/>
      <c r="E794" s="12"/>
      <c r="F794" s="12"/>
      <c r="G794" s="12"/>
    </row>
    <row r="795" spans="2:7" x14ac:dyDescent="0.25">
      <c r="B795" s="12"/>
      <c r="C795" s="13"/>
      <c r="D795" s="12"/>
      <c r="E795" s="12"/>
      <c r="F795" s="12"/>
      <c r="G795" s="12"/>
    </row>
    <row r="796" spans="2:7" x14ac:dyDescent="0.25">
      <c r="B796" s="12"/>
      <c r="C796" s="13"/>
      <c r="D796" s="12"/>
      <c r="E796" s="12"/>
      <c r="F796" s="12"/>
      <c r="G796" s="12"/>
    </row>
    <row r="797" spans="2:7" x14ac:dyDescent="0.25">
      <c r="B797" s="12"/>
      <c r="C797" s="13"/>
      <c r="D797" s="12"/>
      <c r="E797" s="12"/>
      <c r="F797" s="12"/>
      <c r="G797" s="12"/>
    </row>
    <row r="798" spans="2:7" x14ac:dyDescent="0.25">
      <c r="B798" s="12"/>
      <c r="C798" s="13"/>
      <c r="D798" s="12"/>
      <c r="E798" s="12"/>
      <c r="F798" s="12"/>
      <c r="G798" s="12"/>
    </row>
    <row r="799" spans="2:7" x14ac:dyDescent="0.25">
      <c r="B799" s="12"/>
      <c r="C799" s="13"/>
      <c r="D799" s="12"/>
      <c r="E799" s="12"/>
      <c r="F799" s="12"/>
      <c r="G799" s="12"/>
    </row>
    <row r="800" spans="2:7" x14ac:dyDescent="0.25">
      <c r="B800" s="12"/>
      <c r="C800" s="13"/>
      <c r="D800" s="12"/>
      <c r="E800" s="12"/>
      <c r="F800" s="12"/>
      <c r="G800" s="12"/>
    </row>
    <row r="801" spans="2:7" x14ac:dyDescent="0.25">
      <c r="B801" s="12"/>
      <c r="C801" s="13"/>
      <c r="D801" s="12"/>
      <c r="E801" s="12"/>
      <c r="F801" s="12"/>
      <c r="G801" s="12"/>
    </row>
    <row r="802" spans="2:7" x14ac:dyDescent="0.25">
      <c r="B802" s="12"/>
      <c r="C802" s="13"/>
      <c r="D802" s="12"/>
      <c r="E802" s="12"/>
      <c r="F802" s="12"/>
      <c r="G802" s="12"/>
    </row>
    <row r="803" spans="2:7" x14ac:dyDescent="0.25">
      <c r="B803" s="12"/>
      <c r="C803" s="13"/>
      <c r="D803" s="12"/>
      <c r="E803" s="12"/>
      <c r="F803" s="12"/>
      <c r="G803" s="12"/>
    </row>
    <row r="804" spans="2:7" x14ac:dyDescent="0.25">
      <c r="B804" s="12"/>
      <c r="C804" s="13"/>
      <c r="D804" s="12"/>
      <c r="E804" s="12"/>
      <c r="F804" s="12"/>
      <c r="G804" s="12"/>
    </row>
    <row r="805" spans="2:7" x14ac:dyDescent="0.25">
      <c r="B805" s="12"/>
      <c r="C805" s="13"/>
      <c r="D805" s="12"/>
      <c r="E805" s="12"/>
      <c r="F805" s="12"/>
      <c r="G805" s="12"/>
    </row>
    <row r="806" spans="2:7" x14ac:dyDescent="0.25">
      <c r="B806" s="12"/>
      <c r="C806" s="13"/>
      <c r="D806" s="12"/>
      <c r="E806" s="12"/>
      <c r="F806" s="12"/>
      <c r="G806" s="12"/>
    </row>
    <row r="807" spans="2:7" x14ac:dyDescent="0.25">
      <c r="B807" s="12"/>
      <c r="C807" s="13"/>
      <c r="D807" s="12"/>
      <c r="E807" s="12"/>
      <c r="F807" s="12"/>
      <c r="G807" s="12"/>
    </row>
    <row r="808" spans="2:7" x14ac:dyDescent="0.25">
      <c r="B808" s="12"/>
      <c r="C808" s="13"/>
      <c r="D808" s="12"/>
      <c r="E808" s="12"/>
      <c r="F808" s="12"/>
      <c r="G808" s="12"/>
    </row>
    <row r="809" spans="2:7" x14ac:dyDescent="0.25">
      <c r="B809" s="12"/>
      <c r="C809" s="13"/>
      <c r="D809" s="12"/>
      <c r="E809" s="12"/>
      <c r="F809" s="12"/>
      <c r="G809" s="12"/>
    </row>
    <row r="810" spans="2:7" x14ac:dyDescent="0.25">
      <c r="B810" s="12"/>
      <c r="C810" s="13"/>
      <c r="D810" s="12"/>
      <c r="E810" s="12"/>
      <c r="F810" s="12"/>
      <c r="G810" s="12"/>
    </row>
    <row r="811" spans="2:7" x14ac:dyDescent="0.25">
      <c r="B811" s="225" t="s">
        <v>0</v>
      </c>
      <c r="C811" s="225"/>
      <c r="D811" s="225"/>
      <c r="E811" s="225"/>
      <c r="F811" s="225"/>
      <c r="G811" s="225"/>
    </row>
    <row r="812" spans="2:7" x14ac:dyDescent="0.25">
      <c r="B812" s="225" t="s">
        <v>1</v>
      </c>
      <c r="C812" s="225"/>
      <c r="D812" s="225"/>
      <c r="E812" s="225"/>
      <c r="F812" s="225"/>
      <c r="G812" s="225"/>
    </row>
    <row r="813" spans="2:7" x14ac:dyDescent="0.25">
      <c r="B813" s="225" t="s">
        <v>2</v>
      </c>
      <c r="C813" s="225"/>
      <c r="D813" s="225"/>
      <c r="E813" s="225"/>
      <c r="F813" s="225"/>
      <c r="G813" s="225"/>
    </row>
    <row r="814" spans="2:7" x14ac:dyDescent="0.25">
      <c r="B814" s="225" t="s">
        <v>38</v>
      </c>
      <c r="C814" s="225"/>
      <c r="D814" s="225"/>
      <c r="E814" s="225"/>
      <c r="F814" s="225"/>
      <c r="G814" s="225"/>
    </row>
    <row r="815" spans="2:7" x14ac:dyDescent="0.25">
      <c r="B815" s="225" t="s">
        <v>124</v>
      </c>
      <c r="C815" s="225"/>
      <c r="D815" s="225"/>
      <c r="E815" s="225"/>
      <c r="F815" s="225"/>
      <c r="G815" s="225"/>
    </row>
    <row r="816" spans="2:7" ht="15.75" thickBot="1" x14ac:dyDescent="0.3">
      <c r="B816" s="159"/>
      <c r="C816" s="159"/>
      <c r="D816" s="159"/>
      <c r="E816" s="159"/>
      <c r="F816" s="159"/>
      <c r="G816" s="12"/>
    </row>
    <row r="817" spans="2:13" ht="24.75" thickBot="1" x14ac:dyDescent="0.3">
      <c r="B817" s="2" t="s">
        <v>4</v>
      </c>
      <c r="C817" s="3" t="s">
        <v>5</v>
      </c>
      <c r="D817" s="3" t="s">
        <v>6</v>
      </c>
      <c r="E817" s="4" t="s">
        <v>7</v>
      </c>
      <c r="F817" s="3" t="s">
        <v>65</v>
      </c>
      <c r="G817" s="3" t="s">
        <v>8</v>
      </c>
    </row>
    <row r="818" spans="2:13" x14ac:dyDescent="0.25">
      <c r="B818" s="226" t="s">
        <v>25</v>
      </c>
      <c r="C818" s="228">
        <v>489327.06</v>
      </c>
      <c r="D818" s="245">
        <v>387637.35</v>
      </c>
      <c r="E818" s="229">
        <f>396280.36-D818</f>
        <v>8643.0100000000093</v>
      </c>
      <c r="F818" s="228">
        <f>D818+E818</f>
        <v>396280.36</v>
      </c>
      <c r="G818" s="228">
        <f>C818-D818-E818</f>
        <v>93046.700000000012</v>
      </c>
    </row>
    <row r="819" spans="2:13" ht="15.75" thickBot="1" x14ac:dyDescent="0.3">
      <c r="B819" s="227"/>
      <c r="C819" s="215"/>
      <c r="D819" s="234"/>
      <c r="E819" s="230"/>
      <c r="F819" s="215"/>
      <c r="G819" s="215"/>
    </row>
    <row r="820" spans="2:13" x14ac:dyDescent="0.25">
      <c r="B820" s="231" t="s">
        <v>26</v>
      </c>
      <c r="C820" s="215">
        <v>115204.27</v>
      </c>
      <c r="D820" s="216">
        <v>52822.37</v>
      </c>
      <c r="E820" s="236">
        <f>65632.67-D820</f>
        <v>12810.299999999996</v>
      </c>
      <c r="F820" s="216">
        <f>D820+E820</f>
        <v>65632.67</v>
      </c>
      <c r="G820" s="228">
        <f>C820-D820-E820</f>
        <v>49571.600000000006</v>
      </c>
    </row>
    <row r="821" spans="2:13" ht="15.75" thickBot="1" x14ac:dyDescent="0.3">
      <c r="B821" s="231"/>
      <c r="C821" s="215"/>
      <c r="D821" s="234"/>
      <c r="E821" s="263"/>
      <c r="F821" s="217"/>
      <c r="G821" s="215"/>
    </row>
    <row r="822" spans="2:13" x14ac:dyDescent="0.25">
      <c r="B822" s="231" t="s">
        <v>27</v>
      </c>
      <c r="C822" s="215">
        <v>0</v>
      </c>
      <c r="D822" s="216">
        <v>0</v>
      </c>
      <c r="E822" s="236">
        <f>0-D822</f>
        <v>0</v>
      </c>
      <c r="F822" s="216">
        <f t="shared" ref="F822" si="18">D822+E822</f>
        <v>0</v>
      </c>
      <c r="G822" s="228">
        <f>C822-D822-E822</f>
        <v>0</v>
      </c>
    </row>
    <row r="823" spans="2:13" ht="15.75" thickBot="1" x14ac:dyDescent="0.3">
      <c r="B823" s="231"/>
      <c r="C823" s="215"/>
      <c r="D823" s="234"/>
      <c r="E823" s="263"/>
      <c r="F823" s="217"/>
      <c r="G823" s="215"/>
    </row>
    <row r="824" spans="2:13" ht="30.75" thickBot="1" x14ac:dyDescent="0.3">
      <c r="B824" s="231" t="s">
        <v>28</v>
      </c>
      <c r="C824" s="215">
        <v>0</v>
      </c>
      <c r="D824" s="216">
        <v>0</v>
      </c>
      <c r="E824" s="236">
        <f>C824-D824</f>
        <v>0</v>
      </c>
      <c r="F824" s="216">
        <f t="shared" ref="F824" si="19">D824+E824</f>
        <v>0</v>
      </c>
      <c r="G824" s="250">
        <f>C824-D824-E824</f>
        <v>0</v>
      </c>
      <c r="H824" s="155" t="s">
        <v>67</v>
      </c>
      <c r="I824" s="154" t="s">
        <v>60</v>
      </c>
      <c r="J824" s="120" t="s">
        <v>61</v>
      </c>
      <c r="K824" s="126" t="s">
        <v>66</v>
      </c>
      <c r="L824" s="133" t="s">
        <v>62</v>
      </c>
      <c r="M824" s="128" t="s">
        <v>63</v>
      </c>
    </row>
    <row r="825" spans="2:13" ht="15.75" thickBot="1" x14ac:dyDescent="0.3">
      <c r="B825" s="232"/>
      <c r="C825" s="216"/>
      <c r="D825" s="244"/>
      <c r="E825" s="264"/>
      <c r="F825" s="217"/>
      <c r="G825" s="239"/>
      <c r="H825" s="66">
        <v>100</v>
      </c>
      <c r="I825" s="67">
        <f>I826*100/H826</f>
        <v>72.859701084474821</v>
      </c>
      <c r="J825" s="67">
        <f>J826*100/H826</f>
        <v>3.5487507322407934</v>
      </c>
      <c r="K825" s="113">
        <f>K826*100/H826</f>
        <v>76.408451816715612</v>
      </c>
      <c r="L825" s="106">
        <f>L826*100/H826</f>
        <v>23.591548183284395</v>
      </c>
      <c r="M825" s="97">
        <f>M826*100/H826</f>
        <v>27.140298915525186</v>
      </c>
    </row>
    <row r="826" spans="2:13" ht="15.75" thickBot="1" x14ac:dyDescent="0.3">
      <c r="B826" s="14" t="s">
        <v>13</v>
      </c>
      <c r="C826" s="21">
        <f>SUM(C818:C825)</f>
        <v>604531.32999999996</v>
      </c>
      <c r="D826" s="21">
        <f>SUM(D818:D825)</f>
        <v>440459.72</v>
      </c>
      <c r="E826" s="149">
        <f>SUM(E818:E825)</f>
        <v>21453.310000000005</v>
      </c>
      <c r="F826" s="16">
        <f>SUM(F818:F825)</f>
        <v>461913.02999999997</v>
      </c>
      <c r="G826" s="46">
        <f>C826-D826-E826</f>
        <v>142618.29999999999</v>
      </c>
      <c r="H826" s="60">
        <f>+C826</f>
        <v>604531.32999999996</v>
      </c>
      <c r="I826" s="61">
        <f>+D826</f>
        <v>440459.72</v>
      </c>
      <c r="J826" s="61">
        <f>+E826</f>
        <v>21453.310000000005</v>
      </c>
      <c r="K826" s="61">
        <f>I826+J826</f>
        <v>461913.02999999997</v>
      </c>
      <c r="L826" s="108">
        <f>H826-K826</f>
        <v>142618.29999999999</v>
      </c>
      <c r="M826" s="97">
        <f>H826-I826</f>
        <v>164071.60999999999</v>
      </c>
    </row>
    <row r="827" spans="2:13" x14ac:dyDescent="0.25">
      <c r="B827" s="224" t="s">
        <v>29</v>
      </c>
      <c r="C827" s="234">
        <v>182751.95</v>
      </c>
      <c r="D827" s="245">
        <v>156586.51999999999</v>
      </c>
      <c r="E827" s="265">
        <f>159572.39-D827</f>
        <v>2985.8700000000244</v>
      </c>
      <c r="F827" s="235">
        <f>D827+E827</f>
        <v>159572.39000000001</v>
      </c>
      <c r="G827" s="218">
        <f>C827-D827-E827</f>
        <v>23179.559999999998</v>
      </c>
    </row>
    <row r="828" spans="2:13" ht="15.75" thickBot="1" x14ac:dyDescent="0.3">
      <c r="B828" s="214"/>
      <c r="C828" s="215"/>
      <c r="D828" s="234"/>
      <c r="E828" s="263"/>
      <c r="F828" s="217"/>
      <c r="G828" s="219"/>
    </row>
    <row r="829" spans="2:13" x14ac:dyDescent="0.25">
      <c r="B829" s="214" t="s">
        <v>30</v>
      </c>
      <c r="C829" s="215">
        <v>49544.26</v>
      </c>
      <c r="D829" s="216">
        <v>14222</v>
      </c>
      <c r="E829" s="236">
        <f>29274.8-D829</f>
        <v>15052.8</v>
      </c>
      <c r="F829" s="216">
        <f>D829+E829</f>
        <v>29274.799999999999</v>
      </c>
      <c r="G829" s="218">
        <f>C829-D829-E829</f>
        <v>20269.460000000003</v>
      </c>
    </row>
    <row r="830" spans="2:13" ht="15.75" thickBot="1" x14ac:dyDescent="0.3">
      <c r="B830" s="214"/>
      <c r="C830" s="215"/>
      <c r="D830" s="234"/>
      <c r="E830" s="263"/>
      <c r="F830" s="217"/>
      <c r="G830" s="219"/>
    </row>
    <row r="831" spans="2:13" x14ac:dyDescent="0.25">
      <c r="B831" s="214" t="s">
        <v>31</v>
      </c>
      <c r="C831" s="215">
        <v>0</v>
      </c>
      <c r="D831" s="216">
        <v>0</v>
      </c>
      <c r="E831" s="236">
        <f>0-D831</f>
        <v>0</v>
      </c>
      <c r="F831" s="216">
        <f t="shared" ref="F831" si="20">D831+E831</f>
        <v>0</v>
      </c>
      <c r="G831" s="218">
        <f>C831-D831-E831</f>
        <v>0</v>
      </c>
    </row>
    <row r="832" spans="2:13" ht="15.75" thickBot="1" x14ac:dyDescent="0.3">
      <c r="B832" s="214"/>
      <c r="C832" s="215"/>
      <c r="D832" s="234"/>
      <c r="E832" s="263"/>
      <c r="F832" s="217"/>
      <c r="G832" s="219"/>
    </row>
    <row r="833" spans="2:13" x14ac:dyDescent="0.25">
      <c r="B833" s="214" t="s">
        <v>32</v>
      </c>
      <c r="C833" s="215">
        <v>184051</v>
      </c>
      <c r="D833" s="216">
        <v>50714.080000000002</v>
      </c>
      <c r="E833" s="236">
        <f>136881.12-D833</f>
        <v>86167.039999999994</v>
      </c>
      <c r="F833" s="216">
        <f t="shared" ref="F833" si="21">D833+E833</f>
        <v>136881.12</v>
      </c>
      <c r="G833" s="218">
        <f>C833-D833-E833</f>
        <v>47169.87999999999</v>
      </c>
    </row>
    <row r="834" spans="2:13" ht="15.75" thickBot="1" x14ac:dyDescent="0.3">
      <c r="B834" s="214"/>
      <c r="C834" s="215"/>
      <c r="D834" s="234"/>
      <c r="E834" s="263"/>
      <c r="F834" s="217"/>
      <c r="G834" s="219"/>
    </row>
    <row r="835" spans="2:13" x14ac:dyDescent="0.25">
      <c r="B835" s="214" t="s">
        <v>33</v>
      </c>
      <c r="C835" s="215">
        <v>13300</v>
      </c>
      <c r="D835" s="216">
        <v>0</v>
      </c>
      <c r="E835" s="236">
        <f>0-D835</f>
        <v>0</v>
      </c>
      <c r="F835" s="216">
        <f t="shared" ref="F835" si="22">D835+E835</f>
        <v>0</v>
      </c>
      <c r="G835" s="218">
        <f>C835-D835-E835</f>
        <v>13300</v>
      </c>
    </row>
    <row r="836" spans="2:13" ht="15.75" thickBot="1" x14ac:dyDescent="0.3">
      <c r="B836" s="214"/>
      <c r="C836" s="215"/>
      <c r="D836" s="234"/>
      <c r="E836" s="263"/>
      <c r="F836" s="217"/>
      <c r="G836" s="219"/>
    </row>
    <row r="837" spans="2:13" x14ac:dyDescent="0.25">
      <c r="B837" s="214" t="s">
        <v>34</v>
      </c>
      <c r="C837" s="215">
        <v>0</v>
      </c>
      <c r="D837" s="216">
        <v>0</v>
      </c>
      <c r="E837" s="236">
        <f>C837-D837</f>
        <v>0</v>
      </c>
      <c r="F837" s="216">
        <f t="shared" ref="F837" si="23">D837+E837</f>
        <v>0</v>
      </c>
      <c r="G837" s="218">
        <f>C837-D837-E837</f>
        <v>0</v>
      </c>
    </row>
    <row r="838" spans="2:13" ht="15.75" thickBot="1" x14ac:dyDescent="0.3">
      <c r="B838" s="214"/>
      <c r="C838" s="215"/>
      <c r="D838" s="234"/>
      <c r="E838" s="263"/>
      <c r="F838" s="217"/>
      <c r="G838" s="219"/>
    </row>
    <row r="839" spans="2:13" x14ac:dyDescent="0.25">
      <c r="B839" s="214" t="s">
        <v>35</v>
      </c>
      <c r="C839" s="215">
        <v>0</v>
      </c>
      <c r="D839" s="216">
        <v>0</v>
      </c>
      <c r="E839" s="236">
        <f>C839-D839</f>
        <v>0</v>
      </c>
      <c r="F839" s="216">
        <f t="shared" ref="F839" si="24">D839+E839</f>
        <v>0</v>
      </c>
      <c r="G839" s="218">
        <f>C839-D839-E839</f>
        <v>0</v>
      </c>
    </row>
    <row r="840" spans="2:13" ht="15.75" thickBot="1" x14ac:dyDescent="0.3">
      <c r="B840" s="214"/>
      <c r="C840" s="215"/>
      <c r="D840" s="234"/>
      <c r="E840" s="263"/>
      <c r="F840" s="217"/>
      <c r="G840" s="219"/>
    </row>
    <row r="841" spans="2:13" ht="30.75" thickBot="1" x14ac:dyDescent="0.3">
      <c r="B841" s="214" t="s">
        <v>36</v>
      </c>
      <c r="C841" s="215">
        <v>0</v>
      </c>
      <c r="D841" s="216">
        <v>0</v>
      </c>
      <c r="E841" s="236">
        <f>C841-D841</f>
        <v>0</v>
      </c>
      <c r="F841" s="216">
        <f t="shared" ref="F841" si="25">D841+E841</f>
        <v>0</v>
      </c>
      <c r="G841" s="218">
        <f>C841-D841-E841</f>
        <v>0</v>
      </c>
      <c r="H841" s="155" t="s">
        <v>67</v>
      </c>
      <c r="I841" s="154" t="s">
        <v>60</v>
      </c>
      <c r="J841" s="120" t="s">
        <v>61</v>
      </c>
      <c r="K841" s="126" t="s">
        <v>66</v>
      </c>
      <c r="L841" s="133" t="s">
        <v>62</v>
      </c>
      <c r="M841" s="137" t="s">
        <v>63</v>
      </c>
    </row>
    <row r="842" spans="2:13" ht="15.75" thickBot="1" x14ac:dyDescent="0.3">
      <c r="B842" s="220"/>
      <c r="C842" s="221"/>
      <c r="D842" s="244"/>
      <c r="E842" s="263"/>
      <c r="F842" s="217"/>
      <c r="G842" s="219"/>
      <c r="H842" s="62">
        <v>100</v>
      </c>
      <c r="I842" s="63">
        <f>I843*100/H843</f>
        <v>51.559185034624093</v>
      </c>
      <c r="J842" s="63">
        <f>J843*100/H843</f>
        <v>24.253784866891145</v>
      </c>
      <c r="K842" s="64">
        <f>(D843+E843)*100/C843</f>
        <v>75.812969901515245</v>
      </c>
      <c r="L842" s="91">
        <f>G843*100/C843</f>
        <v>24.187030098484758</v>
      </c>
      <c r="M842" s="112">
        <f>M843*100/H843</f>
        <v>48.4408149653759</v>
      </c>
    </row>
    <row r="843" spans="2:13" ht="15.75" thickBot="1" x14ac:dyDescent="0.3">
      <c r="B843" s="14" t="s">
        <v>22</v>
      </c>
      <c r="C843" s="15">
        <f>SUM(C827:C842)</f>
        <v>429647.21</v>
      </c>
      <c r="D843" s="15">
        <f>SUM(D827:D841)</f>
        <v>221522.59999999998</v>
      </c>
      <c r="E843" s="46">
        <f>SUM(E827:E842)</f>
        <v>104205.71000000002</v>
      </c>
      <c r="F843" s="16">
        <f>SUM(F827:F842)</f>
        <v>325728.31</v>
      </c>
      <c r="G843" s="55">
        <f>C843-D843-E843</f>
        <v>103918.90000000002</v>
      </c>
      <c r="H843" s="60">
        <f>K843+L843</f>
        <v>429647.21</v>
      </c>
      <c r="I843" s="65">
        <f>+D843</f>
        <v>221522.59999999998</v>
      </c>
      <c r="J843" s="65">
        <f>+E843</f>
        <v>104205.71000000002</v>
      </c>
      <c r="K843" s="61">
        <f>D843+E843</f>
        <v>325728.31</v>
      </c>
      <c r="L843" s="114">
        <f>+G843</f>
        <v>103918.90000000002</v>
      </c>
      <c r="M843" s="97">
        <f>H843-I843</f>
        <v>208124.61000000004</v>
      </c>
    </row>
    <row r="844" spans="2:13" ht="15.75" thickBot="1" x14ac:dyDescent="0.3">
      <c r="B844" s="17" t="s">
        <v>23</v>
      </c>
      <c r="C844" s="18">
        <f>C826+C843</f>
        <v>1034178.54</v>
      </c>
      <c r="D844" s="19">
        <f>D843+D826</f>
        <v>661982.31999999995</v>
      </c>
      <c r="E844" s="28">
        <f>E826+E843</f>
        <v>125659.02000000002</v>
      </c>
      <c r="F844" s="28">
        <f>F826+F843</f>
        <v>787641.34</v>
      </c>
      <c r="G844" s="28">
        <f>C844-D844-E844</f>
        <v>246537.20000000007</v>
      </c>
      <c r="H844" s="50">
        <f>+C844</f>
        <v>1034178.54</v>
      </c>
      <c r="I844" s="51">
        <f>+D844</f>
        <v>661982.31999999995</v>
      </c>
      <c r="J844" s="51">
        <f>+E844</f>
        <v>125659.02000000002</v>
      </c>
      <c r="K844" s="51">
        <f>I844+J844</f>
        <v>787641.34</v>
      </c>
      <c r="L844" s="100">
        <f>+G844</f>
        <v>246537.20000000007</v>
      </c>
      <c r="M844" s="97">
        <f>H844-I844</f>
        <v>372196.22000000009</v>
      </c>
    </row>
    <row r="845" spans="2:13" ht="15.75" thickBot="1" x14ac:dyDescent="0.3">
      <c r="B845" s="12"/>
      <c r="C845" s="13"/>
      <c r="D845" s="12"/>
      <c r="E845" s="12"/>
      <c r="F845" s="12"/>
      <c r="G845" s="12"/>
      <c r="H845" s="129">
        <v>100</v>
      </c>
      <c r="I845" s="130">
        <f>I844*100/H844</f>
        <v>64.01044833129103</v>
      </c>
      <c r="J845" s="130">
        <f>J844*100/H844</f>
        <v>12.150611827625045</v>
      </c>
      <c r="K845" s="130">
        <f>K844*100/H844</f>
        <v>76.161060158916072</v>
      </c>
      <c r="L845" s="131">
        <f>L844*100/H844</f>
        <v>23.838939841083928</v>
      </c>
      <c r="M845" s="132">
        <f>M844*100/H844</f>
        <v>35.98955166870897</v>
      </c>
    </row>
    <row r="846" spans="2:13" x14ac:dyDescent="0.25">
      <c r="B846" s="12"/>
      <c r="C846" s="13"/>
      <c r="D846" s="12"/>
      <c r="E846" s="12"/>
      <c r="F846" s="12"/>
      <c r="G846" s="12"/>
    </row>
    <row r="847" spans="2:13" x14ac:dyDescent="0.25">
      <c r="B847" s="12"/>
      <c r="C847" s="13"/>
      <c r="D847" s="12"/>
      <c r="E847" s="12"/>
      <c r="F847" s="12"/>
      <c r="G847" s="12"/>
    </row>
    <row r="848" spans="2:13" x14ac:dyDescent="0.25">
      <c r="B848" s="12"/>
      <c r="C848" s="13"/>
      <c r="D848" s="12"/>
      <c r="E848" s="12"/>
      <c r="F848" s="12"/>
      <c r="G848" s="12"/>
    </row>
    <row r="849" spans="2:7" x14ac:dyDescent="0.25">
      <c r="B849" s="12"/>
      <c r="C849" s="13"/>
      <c r="D849" s="12"/>
      <c r="E849" s="12"/>
      <c r="F849" s="12"/>
      <c r="G849" s="12"/>
    </row>
    <row r="850" spans="2:7" x14ac:dyDescent="0.25">
      <c r="B850" s="12"/>
      <c r="C850" s="13"/>
      <c r="D850" s="12"/>
      <c r="E850" s="12"/>
      <c r="F850" s="12"/>
      <c r="G850" s="12"/>
    </row>
    <row r="851" spans="2:7" x14ac:dyDescent="0.25">
      <c r="B851" s="12"/>
      <c r="C851" s="13"/>
      <c r="D851" s="12"/>
      <c r="E851" s="12"/>
      <c r="F851" s="12"/>
      <c r="G851" s="12"/>
    </row>
    <row r="852" spans="2:7" x14ac:dyDescent="0.25">
      <c r="B852" s="12"/>
      <c r="C852" s="13"/>
      <c r="D852" s="12"/>
      <c r="E852" s="12"/>
      <c r="F852" s="12"/>
      <c r="G852" s="12"/>
    </row>
    <row r="853" spans="2:7" x14ac:dyDescent="0.25">
      <c r="B853" s="12"/>
      <c r="C853" s="13"/>
      <c r="D853" s="12"/>
      <c r="E853" s="12"/>
      <c r="F853" s="12"/>
      <c r="G853" s="12"/>
    </row>
    <row r="854" spans="2:7" x14ac:dyDescent="0.25">
      <c r="B854" s="12"/>
      <c r="C854" s="13"/>
      <c r="D854" s="12"/>
      <c r="E854" s="12"/>
      <c r="F854" s="12"/>
      <c r="G854" s="12"/>
    </row>
    <row r="855" spans="2:7" x14ac:dyDescent="0.25">
      <c r="B855" s="12"/>
      <c r="C855" s="13"/>
      <c r="D855" s="12"/>
      <c r="E855" s="12"/>
      <c r="F855" s="12"/>
      <c r="G855" s="12"/>
    </row>
    <row r="856" spans="2:7" x14ac:dyDescent="0.25">
      <c r="B856" s="12"/>
      <c r="C856" s="13"/>
      <c r="D856" s="12"/>
      <c r="E856" s="12"/>
      <c r="F856" s="12"/>
      <c r="G856" s="12"/>
    </row>
    <row r="857" spans="2:7" x14ac:dyDescent="0.25">
      <c r="B857" s="12"/>
      <c r="C857" s="13"/>
      <c r="D857" s="12"/>
      <c r="E857" s="12"/>
      <c r="F857" s="12"/>
      <c r="G857" s="12"/>
    </row>
    <row r="858" spans="2:7" x14ac:dyDescent="0.25">
      <c r="B858" s="12"/>
      <c r="C858" s="13"/>
      <c r="D858" s="12"/>
      <c r="E858" s="12"/>
      <c r="F858" s="12"/>
      <c r="G858" s="12"/>
    </row>
    <row r="859" spans="2:7" x14ac:dyDescent="0.25">
      <c r="B859" s="12"/>
      <c r="C859" s="13"/>
      <c r="D859" s="12"/>
      <c r="E859" s="12"/>
      <c r="F859" s="12"/>
      <c r="G859" s="12"/>
    </row>
    <row r="860" spans="2:7" x14ac:dyDescent="0.25">
      <c r="B860" s="12"/>
      <c r="C860" s="13"/>
      <c r="D860" s="12"/>
      <c r="E860" s="12"/>
      <c r="F860" s="12"/>
      <c r="G860" s="12"/>
    </row>
    <row r="861" spans="2:7" x14ac:dyDescent="0.25">
      <c r="B861" s="12"/>
      <c r="C861" s="13"/>
      <c r="D861" s="12"/>
      <c r="E861" s="12"/>
      <c r="F861" s="12"/>
      <c r="G861" s="12"/>
    </row>
    <row r="862" spans="2:7" x14ac:dyDescent="0.25">
      <c r="B862" s="12"/>
      <c r="C862" s="13"/>
      <c r="D862" s="12"/>
      <c r="E862" s="12"/>
      <c r="F862" s="12"/>
      <c r="G862" s="12"/>
    </row>
    <row r="863" spans="2:7" x14ac:dyDescent="0.25">
      <c r="B863" s="225" t="s">
        <v>0</v>
      </c>
      <c r="C863" s="225"/>
      <c r="D863" s="225"/>
      <c r="E863" s="225"/>
      <c r="F863" s="225"/>
      <c r="G863" s="225"/>
    </row>
    <row r="864" spans="2:7" x14ac:dyDescent="0.25">
      <c r="B864" s="225" t="s">
        <v>1</v>
      </c>
      <c r="C864" s="225"/>
      <c r="D864" s="225"/>
      <c r="E864" s="225"/>
      <c r="F864" s="225"/>
      <c r="G864" s="225"/>
    </row>
    <row r="865" spans="2:12" x14ac:dyDescent="0.25">
      <c r="B865" s="225" t="s">
        <v>2</v>
      </c>
      <c r="C865" s="225"/>
      <c r="D865" s="225"/>
      <c r="E865" s="225"/>
      <c r="F865" s="225"/>
      <c r="G865" s="225"/>
    </row>
    <row r="866" spans="2:12" x14ac:dyDescent="0.25">
      <c r="B866" s="225" t="s">
        <v>38</v>
      </c>
      <c r="C866" s="225"/>
      <c r="D866" s="225"/>
      <c r="E866" s="225"/>
      <c r="F866" s="225"/>
      <c r="G866" s="225"/>
    </row>
    <row r="867" spans="2:12" x14ac:dyDescent="0.25">
      <c r="B867" s="225" t="s">
        <v>124</v>
      </c>
      <c r="C867" s="225"/>
      <c r="D867" s="225"/>
      <c r="E867" s="225"/>
      <c r="F867" s="225"/>
      <c r="G867" s="225"/>
    </row>
    <row r="868" spans="2:12" ht="15.75" thickBot="1" x14ac:dyDescent="0.3">
      <c r="B868" s="202"/>
      <c r="C868" s="202"/>
      <c r="D868" s="202"/>
      <c r="E868" s="202"/>
      <c r="F868" s="202"/>
      <c r="G868" s="202"/>
    </row>
    <row r="869" spans="2:12" ht="36.75" thickBot="1" x14ac:dyDescent="0.3">
      <c r="B869" s="188"/>
      <c r="C869" s="184" t="s">
        <v>5</v>
      </c>
      <c r="D869" s="173" t="s">
        <v>72</v>
      </c>
      <c r="E869" s="172" t="s">
        <v>6</v>
      </c>
      <c r="F869" s="161" t="s">
        <v>60</v>
      </c>
      <c r="G869" s="172" t="s">
        <v>7</v>
      </c>
      <c r="H869" s="179" t="s">
        <v>98</v>
      </c>
      <c r="I869" s="172" t="s">
        <v>65</v>
      </c>
      <c r="J869" s="180" t="s">
        <v>99</v>
      </c>
      <c r="K869" s="177" t="s">
        <v>8</v>
      </c>
      <c r="L869" s="181" t="s">
        <v>100</v>
      </c>
    </row>
    <row r="870" spans="2:12" ht="30.75" thickBot="1" x14ac:dyDescent="0.3">
      <c r="B870" s="187" t="s">
        <v>120</v>
      </c>
      <c r="C870" s="182">
        <v>1034178.54</v>
      </c>
      <c r="D870" s="174">
        <v>1</v>
      </c>
      <c r="E870" s="170">
        <v>661982.31999999995</v>
      </c>
      <c r="F870" s="175">
        <f>E870/C870</f>
        <v>0.64010448331291026</v>
      </c>
      <c r="G870" s="170">
        <v>125659.02</v>
      </c>
      <c r="H870" s="175">
        <f>G870/C870</f>
        <v>0.12150611827625045</v>
      </c>
      <c r="I870" s="170">
        <f>E870+G870</f>
        <v>787641.34</v>
      </c>
      <c r="J870" s="175">
        <f>I870/C870</f>
        <v>0.76161060158916072</v>
      </c>
      <c r="K870" s="189">
        <f>C870-I870</f>
        <v>246537.20000000007</v>
      </c>
      <c r="L870" s="190">
        <f>K870/C870</f>
        <v>0.23838939841083925</v>
      </c>
    </row>
    <row r="871" spans="2:12" x14ac:dyDescent="0.25">
      <c r="B871" s="12"/>
      <c r="C871" s="13"/>
      <c r="D871" s="12"/>
      <c r="E871" s="12"/>
      <c r="F871" s="12"/>
      <c r="G871" s="12"/>
    </row>
    <row r="872" spans="2:12" x14ac:dyDescent="0.25">
      <c r="B872" s="12"/>
      <c r="C872" s="13"/>
      <c r="D872" s="12"/>
      <c r="E872" s="12"/>
      <c r="F872" s="12"/>
      <c r="G872" s="12"/>
    </row>
    <row r="873" spans="2:12" x14ac:dyDescent="0.25">
      <c r="B873" s="12"/>
      <c r="C873" s="13"/>
      <c r="D873" s="12"/>
      <c r="E873" s="12"/>
      <c r="F873" s="12"/>
      <c r="G873" s="12"/>
    </row>
    <row r="874" spans="2:12" x14ac:dyDescent="0.25">
      <c r="B874" s="12"/>
      <c r="C874" s="13"/>
      <c r="D874" s="12"/>
      <c r="E874" s="12"/>
      <c r="F874" s="12"/>
      <c r="G874" s="12"/>
    </row>
    <row r="875" spans="2:12" x14ac:dyDescent="0.25">
      <c r="B875" s="12"/>
      <c r="C875" s="13"/>
      <c r="D875" s="12"/>
      <c r="E875" s="12"/>
      <c r="F875" s="12"/>
      <c r="G875" s="12"/>
    </row>
    <row r="876" spans="2:12" x14ac:dyDescent="0.25">
      <c r="B876" s="12"/>
      <c r="C876" s="13"/>
      <c r="D876" s="12"/>
      <c r="E876" s="12"/>
      <c r="F876" s="12"/>
      <c r="G876" s="12"/>
    </row>
    <row r="877" spans="2:12" x14ac:dyDescent="0.25">
      <c r="B877" s="12"/>
      <c r="C877" s="13"/>
      <c r="D877" s="12"/>
      <c r="E877" s="12"/>
      <c r="F877" s="12"/>
      <c r="G877" s="12"/>
    </row>
    <row r="878" spans="2:12" x14ac:dyDescent="0.25">
      <c r="B878" s="12"/>
      <c r="C878" s="13"/>
      <c r="D878" s="12"/>
      <c r="E878" s="12"/>
      <c r="F878" s="12"/>
      <c r="G878" s="12"/>
    </row>
    <row r="879" spans="2:12" x14ac:dyDescent="0.25">
      <c r="B879" s="12"/>
      <c r="C879" s="13"/>
      <c r="D879" s="12"/>
      <c r="E879" s="12"/>
      <c r="F879" s="12"/>
      <c r="G879" s="12"/>
    </row>
    <row r="880" spans="2:12" x14ac:dyDescent="0.25">
      <c r="B880" s="12"/>
      <c r="C880" s="13"/>
      <c r="D880" s="12"/>
      <c r="E880" s="12"/>
      <c r="F880" s="12"/>
      <c r="G880" s="12"/>
    </row>
    <row r="881" spans="2:7" x14ac:dyDescent="0.25">
      <c r="B881" s="12"/>
      <c r="C881" s="13"/>
      <c r="D881" s="12"/>
      <c r="E881" s="12"/>
      <c r="F881" s="12"/>
      <c r="G881" s="12"/>
    </row>
    <row r="882" spans="2:7" x14ac:dyDescent="0.25">
      <c r="B882" s="12"/>
      <c r="C882" s="13"/>
      <c r="D882" s="12"/>
      <c r="E882" s="12"/>
      <c r="F882" s="12"/>
      <c r="G882" s="12"/>
    </row>
    <row r="883" spans="2:7" x14ac:dyDescent="0.25">
      <c r="B883" s="12"/>
      <c r="C883" s="13"/>
      <c r="D883" s="12"/>
      <c r="E883" s="12"/>
      <c r="F883" s="12"/>
      <c r="G883" s="12"/>
    </row>
    <row r="884" spans="2:7" x14ac:dyDescent="0.25">
      <c r="B884" s="12"/>
      <c r="C884" s="13"/>
      <c r="D884" s="12"/>
      <c r="E884" s="12"/>
      <c r="F884" s="12"/>
      <c r="G884" s="12"/>
    </row>
    <row r="885" spans="2:7" x14ac:dyDescent="0.25">
      <c r="B885" s="12"/>
      <c r="C885" s="13"/>
      <c r="D885" s="12"/>
      <c r="E885" s="12"/>
      <c r="F885" s="12"/>
      <c r="G885" s="12"/>
    </row>
    <row r="886" spans="2:7" x14ac:dyDescent="0.25">
      <c r="B886" s="12"/>
      <c r="C886" s="13"/>
      <c r="D886" s="12"/>
      <c r="E886" s="12"/>
      <c r="F886" s="12"/>
      <c r="G886" s="12"/>
    </row>
    <row r="887" spans="2:7" x14ac:dyDescent="0.25">
      <c r="B887" s="12"/>
      <c r="C887" s="13"/>
      <c r="D887" s="12"/>
      <c r="E887" s="12"/>
      <c r="F887" s="12"/>
      <c r="G887" s="12"/>
    </row>
    <row r="888" spans="2:7" x14ac:dyDescent="0.25">
      <c r="B888" s="12"/>
      <c r="C888" s="13"/>
      <c r="D888" s="12"/>
      <c r="E888" s="12"/>
      <c r="F888" s="12"/>
      <c r="G888" s="12"/>
    </row>
    <row r="889" spans="2:7" x14ac:dyDescent="0.25">
      <c r="B889" s="12"/>
      <c r="C889" s="13"/>
      <c r="D889" s="12"/>
      <c r="E889" s="12"/>
      <c r="F889" s="12"/>
      <c r="G889" s="12"/>
    </row>
    <row r="890" spans="2:7" x14ac:dyDescent="0.25">
      <c r="B890" s="12"/>
      <c r="C890" s="13"/>
      <c r="D890" s="12"/>
      <c r="E890" s="12"/>
      <c r="F890" s="12"/>
      <c r="G890" s="12"/>
    </row>
    <row r="891" spans="2:7" x14ac:dyDescent="0.25">
      <c r="B891" s="12"/>
      <c r="C891" s="13"/>
      <c r="D891" s="12"/>
      <c r="E891" s="12"/>
      <c r="F891" s="12"/>
      <c r="G891" s="12"/>
    </row>
    <row r="892" spans="2:7" x14ac:dyDescent="0.25">
      <c r="B892" s="12"/>
      <c r="C892" s="13"/>
      <c r="D892" s="12"/>
      <c r="E892" s="12"/>
      <c r="F892" s="12"/>
      <c r="G892" s="12"/>
    </row>
    <row r="893" spans="2:7" x14ac:dyDescent="0.25">
      <c r="B893" s="12"/>
      <c r="C893" s="13"/>
      <c r="D893" s="12"/>
      <c r="E893" s="12"/>
      <c r="F893" s="12"/>
      <c r="G893" s="12"/>
    </row>
    <row r="894" spans="2:7" x14ac:dyDescent="0.25">
      <c r="B894" s="12"/>
      <c r="C894" s="13"/>
      <c r="D894" s="12"/>
      <c r="E894" s="12"/>
      <c r="F894" s="12"/>
      <c r="G894" s="12"/>
    </row>
    <row r="895" spans="2:7" x14ac:dyDescent="0.25">
      <c r="B895" s="12"/>
      <c r="C895" s="13"/>
      <c r="D895" s="12"/>
      <c r="E895" s="12"/>
      <c r="F895" s="12"/>
      <c r="G895" s="12"/>
    </row>
    <row r="896" spans="2:7" x14ac:dyDescent="0.25">
      <c r="B896" s="12"/>
      <c r="C896" s="13"/>
      <c r="D896" s="12"/>
      <c r="E896" s="12"/>
      <c r="F896" s="12"/>
      <c r="G896" s="12"/>
    </row>
    <row r="897" spans="2:7" x14ac:dyDescent="0.25">
      <c r="B897" s="12"/>
      <c r="C897" s="13"/>
      <c r="D897" s="12"/>
      <c r="E897" s="12"/>
      <c r="F897" s="12"/>
      <c r="G897" s="12"/>
    </row>
    <row r="898" spans="2:7" x14ac:dyDescent="0.25">
      <c r="B898" s="12"/>
      <c r="C898" s="13"/>
      <c r="D898" s="12"/>
      <c r="E898" s="12"/>
      <c r="F898" s="12"/>
      <c r="G898" s="12"/>
    </row>
    <row r="899" spans="2:7" x14ac:dyDescent="0.25">
      <c r="B899" s="12"/>
      <c r="C899" s="13"/>
      <c r="D899" s="12"/>
      <c r="E899" s="12"/>
      <c r="F899" s="12"/>
      <c r="G899" s="12"/>
    </row>
    <row r="900" spans="2:7" x14ac:dyDescent="0.25">
      <c r="B900" s="12"/>
      <c r="C900" s="13"/>
      <c r="D900" s="12"/>
      <c r="E900" s="12"/>
      <c r="F900" s="12"/>
      <c r="G900" s="12"/>
    </row>
    <row r="901" spans="2:7" x14ac:dyDescent="0.25">
      <c r="B901" s="12"/>
      <c r="C901" s="13"/>
      <c r="D901" s="12"/>
      <c r="E901" s="12"/>
      <c r="F901" s="12"/>
      <c r="G901" s="12"/>
    </row>
    <row r="902" spans="2:7" x14ac:dyDescent="0.25">
      <c r="B902" s="12"/>
      <c r="C902" s="13"/>
      <c r="D902" s="12"/>
      <c r="E902" s="12"/>
      <c r="F902" s="12"/>
      <c r="G902" s="12"/>
    </row>
    <row r="903" spans="2:7" x14ac:dyDescent="0.25">
      <c r="B903" s="12"/>
      <c r="C903" s="13"/>
      <c r="D903" s="12"/>
      <c r="E903" s="12"/>
      <c r="F903" s="12"/>
      <c r="G903" s="12"/>
    </row>
    <row r="904" spans="2:7" x14ac:dyDescent="0.25">
      <c r="B904" s="12"/>
      <c r="C904" s="13"/>
      <c r="D904" s="12"/>
      <c r="E904" s="12"/>
      <c r="F904" s="12"/>
      <c r="G904" s="12"/>
    </row>
    <row r="905" spans="2:7" x14ac:dyDescent="0.25">
      <c r="B905" s="12"/>
      <c r="C905" s="13"/>
      <c r="D905" s="12"/>
      <c r="E905" s="12"/>
      <c r="F905" s="12"/>
      <c r="G905" s="12"/>
    </row>
    <row r="906" spans="2:7" x14ac:dyDescent="0.25">
      <c r="B906" s="12"/>
      <c r="C906" s="13"/>
      <c r="D906" s="12"/>
      <c r="E906" s="12"/>
      <c r="F906" s="12"/>
      <c r="G906" s="12"/>
    </row>
    <row r="907" spans="2:7" x14ac:dyDescent="0.25">
      <c r="B907" s="12"/>
      <c r="C907" s="13"/>
      <c r="D907" s="12"/>
      <c r="E907" s="12"/>
      <c r="F907" s="12"/>
      <c r="G907" s="12"/>
    </row>
    <row r="908" spans="2:7" x14ac:dyDescent="0.25">
      <c r="B908" s="12"/>
      <c r="C908" s="13"/>
      <c r="D908" s="12"/>
      <c r="E908" s="12"/>
      <c r="F908" s="12"/>
      <c r="G908" s="12"/>
    </row>
    <row r="909" spans="2:7" x14ac:dyDescent="0.25">
      <c r="B909" s="12"/>
      <c r="C909" s="13"/>
      <c r="D909" s="12"/>
      <c r="E909" s="12"/>
      <c r="F909" s="12"/>
      <c r="G909" s="12"/>
    </row>
    <row r="910" spans="2:7" x14ac:dyDescent="0.25">
      <c r="B910" s="12"/>
      <c r="C910" s="13"/>
      <c r="D910" s="12"/>
      <c r="E910" s="12"/>
      <c r="F910" s="12"/>
      <c r="G910" s="12"/>
    </row>
    <row r="911" spans="2:7" x14ac:dyDescent="0.25">
      <c r="B911" s="12"/>
      <c r="C911" s="13"/>
      <c r="D911" s="12"/>
      <c r="E911" s="12"/>
      <c r="F911" s="12"/>
      <c r="G911" s="12"/>
    </row>
    <row r="912" spans="2:7" x14ac:dyDescent="0.25">
      <c r="B912" s="12"/>
      <c r="C912" s="13"/>
      <c r="D912" s="12"/>
      <c r="E912" s="12"/>
      <c r="F912" s="12"/>
      <c r="G912" s="12"/>
    </row>
    <row r="913" spans="2:7" x14ac:dyDescent="0.25">
      <c r="B913" s="12"/>
      <c r="C913" s="13"/>
      <c r="D913" s="12"/>
      <c r="E913" s="12"/>
      <c r="F913" s="12"/>
      <c r="G913" s="12"/>
    </row>
    <row r="914" spans="2:7" x14ac:dyDescent="0.25">
      <c r="B914" s="12"/>
      <c r="C914" s="13"/>
      <c r="D914" s="12"/>
      <c r="E914" s="12"/>
      <c r="F914" s="12"/>
      <c r="G914" s="12"/>
    </row>
    <row r="915" spans="2:7" x14ac:dyDescent="0.25">
      <c r="B915" s="12"/>
      <c r="C915" s="13"/>
      <c r="D915" s="12"/>
      <c r="E915" s="12"/>
      <c r="F915" s="12"/>
      <c r="G915" s="12"/>
    </row>
    <row r="916" spans="2:7" x14ac:dyDescent="0.25">
      <c r="B916" s="225" t="s">
        <v>0</v>
      </c>
      <c r="C916" s="225"/>
      <c r="D916" s="225"/>
      <c r="E916" s="225"/>
      <c r="F916" s="225"/>
      <c r="G916" s="225"/>
    </row>
    <row r="917" spans="2:7" x14ac:dyDescent="0.25">
      <c r="B917" s="225" t="s">
        <v>1</v>
      </c>
      <c r="C917" s="225"/>
      <c r="D917" s="225"/>
      <c r="E917" s="225"/>
      <c r="F917" s="225"/>
      <c r="G917" s="225"/>
    </row>
    <row r="918" spans="2:7" x14ac:dyDescent="0.25">
      <c r="B918" s="225" t="s">
        <v>2</v>
      </c>
      <c r="C918" s="225"/>
      <c r="D918" s="225"/>
      <c r="E918" s="225"/>
      <c r="F918" s="225"/>
      <c r="G918" s="225"/>
    </row>
    <row r="919" spans="2:7" x14ac:dyDescent="0.25">
      <c r="B919" s="225" t="s">
        <v>39</v>
      </c>
      <c r="C919" s="225"/>
      <c r="D919" s="225"/>
      <c r="E919" s="225"/>
      <c r="F919" s="225"/>
      <c r="G919" s="225"/>
    </row>
    <row r="920" spans="2:7" x14ac:dyDescent="0.25">
      <c r="B920" s="225" t="s">
        <v>124</v>
      </c>
      <c r="C920" s="225"/>
      <c r="D920" s="225"/>
      <c r="E920" s="225"/>
      <c r="F920" s="225"/>
      <c r="G920" s="225"/>
    </row>
    <row r="921" spans="2:7" ht="15.75" thickBot="1" x14ac:dyDescent="0.3">
      <c r="B921" s="159"/>
      <c r="C921" s="159"/>
      <c r="D921" s="159"/>
      <c r="E921" s="159"/>
      <c r="F921" s="159"/>
      <c r="G921" s="12"/>
    </row>
    <row r="922" spans="2:7" ht="24.75" thickBot="1" x14ac:dyDescent="0.3">
      <c r="B922" s="2" t="s">
        <v>4</v>
      </c>
      <c r="C922" s="3" t="s">
        <v>5</v>
      </c>
      <c r="D922" s="3" t="s">
        <v>6</v>
      </c>
      <c r="E922" s="4" t="s">
        <v>7</v>
      </c>
      <c r="F922" s="3" t="s">
        <v>65</v>
      </c>
      <c r="G922" s="3" t="s">
        <v>8</v>
      </c>
    </row>
    <row r="923" spans="2:7" x14ac:dyDescent="0.25">
      <c r="B923" s="226" t="s">
        <v>25</v>
      </c>
      <c r="C923" s="228">
        <v>183180.01</v>
      </c>
      <c r="D923" s="245">
        <v>165068.54999999999</v>
      </c>
      <c r="E923" s="229">
        <f>168961.94-D923</f>
        <v>3893.390000000014</v>
      </c>
      <c r="F923" s="228">
        <f>D923+E923</f>
        <v>168961.94</v>
      </c>
      <c r="G923" s="228">
        <f>C923-D923-E923</f>
        <v>14218.070000000007</v>
      </c>
    </row>
    <row r="924" spans="2:7" ht="15.75" thickBot="1" x14ac:dyDescent="0.3">
      <c r="B924" s="227"/>
      <c r="C924" s="215"/>
      <c r="D924" s="234"/>
      <c r="E924" s="230"/>
      <c r="F924" s="215"/>
      <c r="G924" s="215"/>
    </row>
    <row r="925" spans="2:7" x14ac:dyDescent="0.25">
      <c r="B925" s="231" t="s">
        <v>26</v>
      </c>
      <c r="C925" s="215">
        <v>29981.11</v>
      </c>
      <c r="D925" s="216">
        <v>10992.23</v>
      </c>
      <c r="E925" s="236">
        <f>12765.57-D925</f>
        <v>1773.3400000000001</v>
      </c>
      <c r="F925" s="216">
        <f>D925+E925</f>
        <v>12765.57</v>
      </c>
      <c r="G925" s="228">
        <f>C925-D925-E925</f>
        <v>17215.54</v>
      </c>
    </row>
    <row r="926" spans="2:7" ht="15.75" thickBot="1" x14ac:dyDescent="0.3">
      <c r="B926" s="231"/>
      <c r="C926" s="215"/>
      <c r="D926" s="234"/>
      <c r="E926" s="263"/>
      <c r="F926" s="217"/>
      <c r="G926" s="215"/>
    </row>
    <row r="927" spans="2:7" x14ac:dyDescent="0.25">
      <c r="B927" s="231" t="s">
        <v>27</v>
      </c>
      <c r="C927" s="215">
        <v>110000</v>
      </c>
      <c r="D927" s="216">
        <v>234.2</v>
      </c>
      <c r="E927" s="236">
        <f>254-D927</f>
        <v>19.800000000000011</v>
      </c>
      <c r="F927" s="216">
        <f>D927+E927</f>
        <v>254</v>
      </c>
      <c r="G927" s="228">
        <f>C927-D927-E927</f>
        <v>109746</v>
      </c>
    </row>
    <row r="928" spans="2:7" ht="15.75" thickBot="1" x14ac:dyDescent="0.3">
      <c r="B928" s="231"/>
      <c r="C928" s="215"/>
      <c r="D928" s="234"/>
      <c r="E928" s="263"/>
      <c r="F928" s="217"/>
      <c r="G928" s="215"/>
    </row>
    <row r="929" spans="2:13" ht="30.75" thickBot="1" x14ac:dyDescent="0.3">
      <c r="B929" s="231" t="s">
        <v>28</v>
      </c>
      <c r="C929" s="215">
        <v>0</v>
      </c>
      <c r="D929" s="216">
        <v>0</v>
      </c>
      <c r="E929" s="236">
        <f>C929-D929</f>
        <v>0</v>
      </c>
      <c r="F929" s="216">
        <f>D929-E929</f>
        <v>0</v>
      </c>
      <c r="G929" s="228">
        <f>C929-D929-E929</f>
        <v>0</v>
      </c>
      <c r="H929" s="155" t="s">
        <v>67</v>
      </c>
      <c r="I929" s="154" t="s">
        <v>60</v>
      </c>
      <c r="J929" s="120" t="s">
        <v>61</v>
      </c>
      <c r="K929" s="126" t="s">
        <v>66</v>
      </c>
      <c r="L929" s="133" t="s">
        <v>62</v>
      </c>
      <c r="M929" s="137" t="s">
        <v>63</v>
      </c>
    </row>
    <row r="930" spans="2:13" ht="15.75" thickBot="1" x14ac:dyDescent="0.3">
      <c r="B930" s="232"/>
      <c r="C930" s="216"/>
      <c r="D930" s="244"/>
      <c r="E930" s="264"/>
      <c r="F930" s="266"/>
      <c r="G930" s="239"/>
      <c r="H930" s="36">
        <v>100</v>
      </c>
      <c r="I930" s="37">
        <f>I931*100/H931</f>
        <v>54.553276706059194</v>
      </c>
      <c r="J930" s="37">
        <f>J931*100/H931</f>
        <v>1.7596578449783855</v>
      </c>
      <c r="K930" s="37">
        <f>K931*100/H931</f>
        <v>56.312934551037586</v>
      </c>
      <c r="L930" s="102">
        <f>L931*100/H931</f>
        <v>43.687065448962414</v>
      </c>
      <c r="M930" s="112">
        <f>M931*100/H931</f>
        <v>45.446723293940799</v>
      </c>
    </row>
    <row r="931" spans="2:13" ht="15.75" thickBot="1" x14ac:dyDescent="0.3">
      <c r="B931" s="14" t="s">
        <v>13</v>
      </c>
      <c r="C931" s="21">
        <f>SUM(C923:C930)</f>
        <v>323161.12</v>
      </c>
      <c r="D931" s="21">
        <f>SUM(D923:D930)</f>
        <v>176294.98</v>
      </c>
      <c r="E931" s="149">
        <f>SUM(E923:E930)</f>
        <v>5686.5300000000143</v>
      </c>
      <c r="F931" s="16">
        <f>SUM(F923:F930)</f>
        <v>181981.51</v>
      </c>
      <c r="G931" s="46">
        <f>C931-D931-E931</f>
        <v>141179.60999999996</v>
      </c>
      <c r="H931" s="44">
        <f>+C931</f>
        <v>323161.12</v>
      </c>
      <c r="I931" s="45">
        <f>+D931</f>
        <v>176294.98</v>
      </c>
      <c r="J931" s="45">
        <f>+E931</f>
        <v>5686.5300000000143</v>
      </c>
      <c r="K931" s="45">
        <f>I931+J931</f>
        <v>181981.51000000004</v>
      </c>
      <c r="L931" s="111">
        <f>H931-K931</f>
        <v>141179.60999999996</v>
      </c>
      <c r="M931" s="97">
        <f>H931-I931</f>
        <v>146866.13999999998</v>
      </c>
    </row>
    <row r="932" spans="2:13" x14ac:dyDescent="0.25">
      <c r="B932" s="224" t="s">
        <v>29</v>
      </c>
      <c r="C932" s="234">
        <v>228779.64</v>
      </c>
      <c r="D932" s="245">
        <v>99806.42</v>
      </c>
      <c r="E932" s="265">
        <f>176678.78-D932</f>
        <v>76872.36</v>
      </c>
      <c r="F932" s="235">
        <f>D932+E932</f>
        <v>176678.78</v>
      </c>
      <c r="G932" s="218">
        <f>C932-D932-E932</f>
        <v>52100.860000000015</v>
      </c>
    </row>
    <row r="933" spans="2:13" ht="15.75" thickBot="1" x14ac:dyDescent="0.3">
      <c r="B933" s="214"/>
      <c r="C933" s="215"/>
      <c r="D933" s="234"/>
      <c r="E933" s="263"/>
      <c r="F933" s="217"/>
      <c r="G933" s="219"/>
    </row>
    <row r="934" spans="2:13" x14ac:dyDescent="0.25">
      <c r="B934" s="214" t="s">
        <v>30</v>
      </c>
      <c r="C934" s="215">
        <v>21456.43</v>
      </c>
      <c r="D934" s="216">
        <v>3549.06</v>
      </c>
      <c r="E934" s="236">
        <f>14529.95-D934</f>
        <v>10980.890000000001</v>
      </c>
      <c r="F934" s="216">
        <f>D934+E934</f>
        <v>14529.95</v>
      </c>
      <c r="G934" s="218">
        <f>C934-D934-E934</f>
        <v>6926.4799999999977</v>
      </c>
    </row>
    <row r="935" spans="2:13" ht="15.75" thickBot="1" x14ac:dyDescent="0.3">
      <c r="B935" s="214"/>
      <c r="C935" s="215"/>
      <c r="D935" s="234"/>
      <c r="E935" s="263"/>
      <c r="F935" s="217"/>
      <c r="G935" s="219"/>
    </row>
    <row r="936" spans="2:13" x14ac:dyDescent="0.25">
      <c r="B936" s="214" t="s">
        <v>31</v>
      </c>
      <c r="C936" s="215">
        <v>0</v>
      </c>
      <c r="D936" s="216">
        <v>0</v>
      </c>
      <c r="E936" s="236">
        <f>0-D936</f>
        <v>0</v>
      </c>
      <c r="F936" s="216">
        <f t="shared" ref="F936" si="26">D936+E936</f>
        <v>0</v>
      </c>
      <c r="G936" s="218">
        <f>C936-D936-E936</f>
        <v>0</v>
      </c>
    </row>
    <row r="937" spans="2:13" ht="15.75" thickBot="1" x14ac:dyDescent="0.3">
      <c r="B937" s="214"/>
      <c r="C937" s="215"/>
      <c r="D937" s="234"/>
      <c r="E937" s="263"/>
      <c r="F937" s="217"/>
      <c r="G937" s="219"/>
    </row>
    <row r="938" spans="2:13" x14ac:dyDescent="0.25">
      <c r="B938" s="214" t="s">
        <v>32</v>
      </c>
      <c r="C938" s="215">
        <v>33715.61</v>
      </c>
      <c r="D938" s="216">
        <v>12526.77</v>
      </c>
      <c r="E938" s="236">
        <f>28745.09-D938</f>
        <v>16218.32</v>
      </c>
      <c r="F938" s="216">
        <f t="shared" ref="F938" si="27">D938+E938</f>
        <v>28745.09</v>
      </c>
      <c r="G938" s="218">
        <f>C938-D938-E938</f>
        <v>4970.5200000000004</v>
      </c>
    </row>
    <row r="939" spans="2:13" ht="15.75" thickBot="1" x14ac:dyDescent="0.3">
      <c r="B939" s="214"/>
      <c r="C939" s="215"/>
      <c r="D939" s="234"/>
      <c r="E939" s="263"/>
      <c r="F939" s="217"/>
      <c r="G939" s="219"/>
    </row>
    <row r="940" spans="2:13" x14ac:dyDescent="0.25">
      <c r="B940" s="214" t="s">
        <v>33</v>
      </c>
      <c r="C940" s="215">
        <v>12145.47</v>
      </c>
      <c r="D940" s="216">
        <v>558.47</v>
      </c>
      <c r="E940" s="236">
        <f>558.47-D940</f>
        <v>0</v>
      </c>
      <c r="F940" s="216">
        <f t="shared" ref="F940" si="28">D940+E940</f>
        <v>558.47</v>
      </c>
      <c r="G940" s="218">
        <f>C940-D940-E940</f>
        <v>11587</v>
      </c>
    </row>
    <row r="941" spans="2:13" ht="15.75" thickBot="1" x14ac:dyDescent="0.3">
      <c r="B941" s="214"/>
      <c r="C941" s="215"/>
      <c r="D941" s="234"/>
      <c r="E941" s="263"/>
      <c r="F941" s="217"/>
      <c r="G941" s="219"/>
    </row>
    <row r="942" spans="2:13" x14ac:dyDescent="0.25">
      <c r="B942" s="214" t="s">
        <v>34</v>
      </c>
      <c r="C942" s="215">
        <v>0</v>
      </c>
      <c r="D942" s="216">
        <v>0</v>
      </c>
      <c r="E942" s="236">
        <f>C942-D942</f>
        <v>0</v>
      </c>
      <c r="F942" s="216">
        <f t="shared" ref="F942" si="29">D942+E942</f>
        <v>0</v>
      </c>
      <c r="G942" s="218">
        <f>C942-D942-E942</f>
        <v>0</v>
      </c>
    </row>
    <row r="943" spans="2:13" ht="15.75" thickBot="1" x14ac:dyDescent="0.3">
      <c r="B943" s="214"/>
      <c r="C943" s="215"/>
      <c r="D943" s="234"/>
      <c r="E943" s="263"/>
      <c r="F943" s="217"/>
      <c r="G943" s="219"/>
    </row>
    <row r="944" spans="2:13" x14ac:dyDescent="0.25">
      <c r="B944" s="214" t="s">
        <v>35</v>
      </c>
      <c r="C944" s="215">
        <v>0</v>
      </c>
      <c r="D944" s="216">
        <v>0</v>
      </c>
      <c r="E944" s="236">
        <f>C944-D944</f>
        <v>0</v>
      </c>
      <c r="F944" s="216">
        <f t="shared" ref="F944" si="30">D944+E944</f>
        <v>0</v>
      </c>
      <c r="G944" s="218">
        <f>C944-D944-E944</f>
        <v>0</v>
      </c>
    </row>
    <row r="945" spans="2:13" ht="15.75" thickBot="1" x14ac:dyDescent="0.3">
      <c r="B945" s="214"/>
      <c r="C945" s="215"/>
      <c r="D945" s="234"/>
      <c r="E945" s="263"/>
      <c r="F945" s="217"/>
      <c r="G945" s="219"/>
    </row>
    <row r="946" spans="2:13" ht="30.75" thickBot="1" x14ac:dyDescent="0.3">
      <c r="B946" s="214" t="s">
        <v>36</v>
      </c>
      <c r="C946" s="215">
        <v>0</v>
      </c>
      <c r="D946" s="216">
        <v>0</v>
      </c>
      <c r="E946" s="236">
        <f>C946-D946</f>
        <v>0</v>
      </c>
      <c r="F946" s="216">
        <f t="shared" ref="F946" si="31">D946+E946</f>
        <v>0</v>
      </c>
      <c r="G946" s="218">
        <f>C946-D946-E946</f>
        <v>0</v>
      </c>
      <c r="H946" s="155" t="s">
        <v>67</v>
      </c>
      <c r="I946" s="154" t="s">
        <v>60</v>
      </c>
      <c r="J946" s="120" t="s">
        <v>61</v>
      </c>
      <c r="K946" s="126" t="s">
        <v>66</v>
      </c>
      <c r="L946" s="133" t="s">
        <v>62</v>
      </c>
      <c r="M946" s="137" t="s">
        <v>63</v>
      </c>
    </row>
    <row r="947" spans="2:13" ht="15.75" thickBot="1" x14ac:dyDescent="0.3">
      <c r="B947" s="220"/>
      <c r="C947" s="221"/>
      <c r="D947" s="244"/>
      <c r="E947" s="263"/>
      <c r="F947" s="217"/>
      <c r="G947" s="219"/>
      <c r="H947" s="74">
        <v>100</v>
      </c>
      <c r="I947" s="76">
        <f>I948*100/H948</f>
        <v>39.325174186918048</v>
      </c>
      <c r="J947" s="76">
        <f>J948*100/H948</f>
        <v>35.147778355853816</v>
      </c>
      <c r="K947" s="75">
        <f>(D948+E948)*100/C948</f>
        <v>74.472952542771864</v>
      </c>
      <c r="L947" s="115">
        <f>G948*100/C948</f>
        <v>25.527047457228129</v>
      </c>
      <c r="M947" s="112">
        <f>M948*100/H948</f>
        <v>60.674825813081952</v>
      </c>
    </row>
    <row r="948" spans="2:13" ht="15.75" thickBot="1" x14ac:dyDescent="0.3">
      <c r="B948" s="14" t="s">
        <v>22</v>
      </c>
      <c r="C948" s="15">
        <f>SUM(C932:C947)</f>
        <v>296097.14999999997</v>
      </c>
      <c r="D948" s="15">
        <f>SUM(D932:D946)</f>
        <v>116440.72</v>
      </c>
      <c r="E948" s="46">
        <f>SUM(E932:E947)</f>
        <v>104071.57</v>
      </c>
      <c r="F948" s="16">
        <f>D948+E948</f>
        <v>220512.29</v>
      </c>
      <c r="G948" s="55">
        <f>C948-D948-E948</f>
        <v>75584.859999999957</v>
      </c>
      <c r="H948" s="60">
        <f>K948+L948</f>
        <v>296097.14999999997</v>
      </c>
      <c r="I948" s="65">
        <f>+D948</f>
        <v>116440.72</v>
      </c>
      <c r="J948" s="65">
        <f>+E948</f>
        <v>104071.57</v>
      </c>
      <c r="K948" s="61">
        <f>D948+E948</f>
        <v>220512.29</v>
      </c>
      <c r="L948" s="114">
        <f>+G948</f>
        <v>75584.859999999957</v>
      </c>
      <c r="M948" s="97">
        <f>H948-I948</f>
        <v>179656.42999999996</v>
      </c>
    </row>
    <row r="949" spans="2:13" ht="15.75" thickBot="1" x14ac:dyDescent="0.3">
      <c r="B949" s="17" t="s">
        <v>23</v>
      </c>
      <c r="C949" s="18">
        <f>C931+C948</f>
        <v>619258.27</v>
      </c>
      <c r="D949" s="19">
        <f>D948+D931</f>
        <v>292735.7</v>
      </c>
      <c r="E949" s="28">
        <f>E931+E948</f>
        <v>109758.10000000002</v>
      </c>
      <c r="F949" s="20">
        <f>D949+E949</f>
        <v>402493.80000000005</v>
      </c>
      <c r="G949" s="28">
        <f>C949-D949-E949</f>
        <v>216764.46999999997</v>
      </c>
      <c r="H949" s="50">
        <f>+C949</f>
        <v>619258.27</v>
      </c>
      <c r="I949" s="51">
        <f>+D949</f>
        <v>292735.7</v>
      </c>
      <c r="J949" s="51">
        <f>+E949</f>
        <v>109758.10000000002</v>
      </c>
      <c r="K949" s="51">
        <f>I949+J949</f>
        <v>402493.80000000005</v>
      </c>
      <c r="L949" s="100">
        <f>L948+L931</f>
        <v>216764.46999999991</v>
      </c>
      <c r="M949" s="97">
        <f>H949-I949</f>
        <v>326522.57</v>
      </c>
    </row>
    <row r="950" spans="2:13" ht="15.75" thickBot="1" x14ac:dyDescent="0.3">
      <c r="B950" s="12"/>
      <c r="C950" s="13"/>
      <c r="D950" s="12"/>
      <c r="E950" s="12"/>
      <c r="F950" s="12"/>
      <c r="G950" s="12"/>
      <c r="H950" s="56">
        <v>100</v>
      </c>
      <c r="I950" s="57">
        <f>I949*100/H949</f>
        <v>47.271988793948601</v>
      </c>
      <c r="J950" s="57">
        <f>J949*100/H949</f>
        <v>17.724123409768918</v>
      </c>
      <c r="K950" s="57">
        <f>K949*100/H949</f>
        <v>64.99611220371753</v>
      </c>
      <c r="L950" s="101">
        <f>L949*100/H949</f>
        <v>35.003887796282463</v>
      </c>
      <c r="M950" s="99">
        <f>M949*100/H949</f>
        <v>52.728011206051391</v>
      </c>
    </row>
    <row r="951" spans="2:13" x14ac:dyDescent="0.25">
      <c r="B951" s="12"/>
      <c r="C951" s="13"/>
      <c r="D951" s="12"/>
      <c r="E951" s="12"/>
      <c r="F951" s="12"/>
      <c r="G951" s="12"/>
    </row>
    <row r="952" spans="2:13" x14ac:dyDescent="0.25">
      <c r="B952" s="12"/>
      <c r="C952" s="13"/>
      <c r="D952" s="12"/>
      <c r="E952" s="12"/>
      <c r="F952" s="12"/>
      <c r="G952" s="12"/>
    </row>
    <row r="953" spans="2:13" x14ac:dyDescent="0.25">
      <c r="B953" s="12"/>
      <c r="C953" s="13"/>
      <c r="D953" s="12"/>
      <c r="E953" s="12"/>
      <c r="F953" s="12"/>
      <c r="G953" s="12"/>
    </row>
    <row r="954" spans="2:13" x14ac:dyDescent="0.25">
      <c r="B954" s="12"/>
      <c r="C954" s="13"/>
      <c r="D954" s="12"/>
      <c r="E954" s="12"/>
      <c r="F954" s="12"/>
      <c r="G954" s="12"/>
    </row>
    <row r="955" spans="2:13" x14ac:dyDescent="0.25">
      <c r="B955" s="12"/>
      <c r="C955" s="13"/>
      <c r="D955" s="12"/>
      <c r="E955" s="12"/>
      <c r="F955" s="12"/>
      <c r="G955" s="12"/>
    </row>
    <row r="956" spans="2:13" x14ac:dyDescent="0.25">
      <c r="B956" s="12"/>
      <c r="C956" s="13"/>
      <c r="D956" s="12"/>
      <c r="E956" s="12"/>
      <c r="F956" s="12"/>
      <c r="G956" s="12"/>
    </row>
    <row r="957" spans="2:13" x14ac:dyDescent="0.25">
      <c r="B957" s="12"/>
      <c r="C957" s="13"/>
      <c r="D957" s="12"/>
      <c r="E957" s="12"/>
      <c r="F957" s="12"/>
      <c r="G957" s="12"/>
    </row>
    <row r="958" spans="2:13" x14ac:dyDescent="0.25">
      <c r="B958" s="12"/>
      <c r="C958" s="13"/>
      <c r="D958" s="12"/>
      <c r="E958" s="12"/>
      <c r="F958" s="12"/>
      <c r="G958" s="12"/>
    </row>
    <row r="959" spans="2:13" x14ac:dyDescent="0.25">
      <c r="B959" s="12"/>
      <c r="C959" s="13"/>
      <c r="D959" s="12"/>
      <c r="E959" s="12"/>
      <c r="F959" s="12"/>
      <c r="G959" s="12"/>
    </row>
    <row r="960" spans="2:13" x14ac:dyDescent="0.25">
      <c r="B960" s="12"/>
      <c r="C960" s="13"/>
      <c r="D960" s="12"/>
      <c r="E960" s="12"/>
      <c r="F960" s="12"/>
      <c r="G960" s="12"/>
    </row>
    <row r="961" spans="2:12" x14ac:dyDescent="0.25">
      <c r="B961" s="12"/>
      <c r="C961" s="13"/>
      <c r="D961" s="12"/>
      <c r="E961" s="12"/>
      <c r="F961" s="12"/>
      <c r="G961" s="12"/>
    </row>
    <row r="962" spans="2:12" x14ac:dyDescent="0.25">
      <c r="B962" s="12"/>
      <c r="C962" s="13"/>
      <c r="D962" s="12"/>
      <c r="E962" s="12"/>
      <c r="F962" s="12"/>
      <c r="G962" s="12"/>
    </row>
    <row r="963" spans="2:12" x14ac:dyDescent="0.25">
      <c r="B963" s="12"/>
      <c r="C963" s="13"/>
      <c r="D963" s="12"/>
      <c r="E963" s="12"/>
      <c r="F963" s="12"/>
      <c r="G963" s="12"/>
    </row>
    <row r="964" spans="2:12" x14ac:dyDescent="0.25">
      <c r="B964" s="12"/>
      <c r="C964" s="13"/>
      <c r="D964" s="12"/>
      <c r="E964" s="12"/>
      <c r="F964" s="12"/>
      <c r="G964" s="12"/>
    </row>
    <row r="965" spans="2:12" x14ac:dyDescent="0.25">
      <c r="B965" s="12"/>
      <c r="C965" s="13"/>
      <c r="D965" s="12"/>
      <c r="E965" s="12"/>
      <c r="F965" s="12"/>
      <c r="G965" s="12"/>
    </row>
    <row r="966" spans="2:12" x14ac:dyDescent="0.25">
      <c r="B966" s="12"/>
      <c r="C966" s="13"/>
      <c r="D966" s="12"/>
      <c r="E966" s="12"/>
      <c r="F966" s="12"/>
      <c r="G966" s="12"/>
    </row>
    <row r="967" spans="2:12" x14ac:dyDescent="0.25">
      <c r="B967" s="12"/>
      <c r="C967" s="13"/>
      <c r="D967" s="12"/>
      <c r="E967" s="12"/>
      <c r="F967" s="12"/>
      <c r="G967" s="12"/>
    </row>
    <row r="968" spans="2:12" x14ac:dyDescent="0.25">
      <c r="B968" s="225" t="s">
        <v>0</v>
      </c>
      <c r="C968" s="225"/>
      <c r="D968" s="225"/>
      <c r="E968" s="225"/>
      <c r="F968" s="225"/>
      <c r="G968" s="225"/>
    </row>
    <row r="969" spans="2:12" x14ac:dyDescent="0.25">
      <c r="B969" s="225" t="s">
        <v>1</v>
      </c>
      <c r="C969" s="225"/>
      <c r="D969" s="225"/>
      <c r="E969" s="225"/>
      <c r="F969" s="225"/>
      <c r="G969" s="225"/>
    </row>
    <row r="970" spans="2:12" x14ac:dyDescent="0.25">
      <c r="B970" s="225" t="s">
        <v>2</v>
      </c>
      <c r="C970" s="225"/>
      <c r="D970" s="225"/>
      <c r="E970" s="225"/>
      <c r="F970" s="225"/>
      <c r="G970" s="225"/>
    </row>
    <row r="971" spans="2:12" x14ac:dyDescent="0.25">
      <c r="B971" s="225" t="s">
        <v>39</v>
      </c>
      <c r="C971" s="225"/>
      <c r="D971" s="225"/>
      <c r="E971" s="225"/>
      <c r="F971" s="225"/>
      <c r="G971" s="225"/>
    </row>
    <row r="972" spans="2:12" x14ac:dyDescent="0.25">
      <c r="B972" s="225" t="s">
        <v>124</v>
      </c>
      <c r="C972" s="225"/>
      <c r="D972" s="225"/>
      <c r="E972" s="225"/>
      <c r="F972" s="225"/>
      <c r="G972" s="225"/>
    </row>
    <row r="973" spans="2:12" ht="15.75" thickBot="1" x14ac:dyDescent="0.3">
      <c r="B973" s="12"/>
      <c r="C973" s="13"/>
      <c r="D973" s="12"/>
      <c r="E973" s="12"/>
      <c r="F973" s="12"/>
      <c r="G973" s="12"/>
    </row>
    <row r="974" spans="2:12" ht="36.75" thickBot="1" x14ac:dyDescent="0.3">
      <c r="B974" s="185"/>
      <c r="C974" s="184" t="s">
        <v>5</v>
      </c>
      <c r="D974" s="173" t="s">
        <v>72</v>
      </c>
      <c r="E974" s="172" t="s">
        <v>6</v>
      </c>
      <c r="F974" s="161" t="s">
        <v>60</v>
      </c>
      <c r="G974" s="172" t="s">
        <v>7</v>
      </c>
      <c r="H974" s="179" t="s">
        <v>98</v>
      </c>
      <c r="I974" s="172" t="s">
        <v>65</v>
      </c>
      <c r="J974" s="180" t="s">
        <v>99</v>
      </c>
      <c r="K974" s="177" t="s">
        <v>8</v>
      </c>
      <c r="L974" s="181" t="s">
        <v>100</v>
      </c>
    </row>
    <row r="975" spans="2:12" ht="15.75" thickBot="1" x14ac:dyDescent="0.3">
      <c r="B975" s="191" t="s">
        <v>119</v>
      </c>
      <c r="C975" s="182">
        <v>619258.27</v>
      </c>
      <c r="D975" s="174">
        <v>1</v>
      </c>
      <c r="E975" s="170">
        <v>292735.7</v>
      </c>
      <c r="F975" s="175">
        <f>E975/C975</f>
        <v>0.47271988793948605</v>
      </c>
      <c r="G975" s="170">
        <v>109758.1</v>
      </c>
      <c r="H975" s="175">
        <f>G975/C975</f>
        <v>0.17724123409768916</v>
      </c>
      <c r="I975" s="170">
        <f>E975+G975</f>
        <v>402493.80000000005</v>
      </c>
      <c r="J975" s="175">
        <f>I975/C975</f>
        <v>0.64996112203717527</v>
      </c>
      <c r="K975" s="189">
        <f>C975-I975</f>
        <v>216764.46999999997</v>
      </c>
      <c r="L975" s="190">
        <f>K975/C975</f>
        <v>0.35003887796282473</v>
      </c>
    </row>
    <row r="976" spans="2:12" x14ac:dyDescent="0.25">
      <c r="B976" s="12"/>
      <c r="C976" s="13"/>
      <c r="D976" s="12"/>
      <c r="E976" s="12"/>
      <c r="F976" s="12"/>
      <c r="G976" s="12"/>
    </row>
    <row r="977" spans="2:7" x14ac:dyDescent="0.25">
      <c r="B977" s="12"/>
      <c r="C977" s="13"/>
      <c r="D977" s="12"/>
      <c r="E977" s="12"/>
      <c r="F977" s="12"/>
      <c r="G977" s="12"/>
    </row>
    <row r="978" spans="2:7" x14ac:dyDescent="0.25">
      <c r="B978" s="12"/>
      <c r="C978" s="13"/>
      <c r="D978" s="12"/>
      <c r="E978" s="12"/>
      <c r="F978" s="12"/>
      <c r="G978" s="12"/>
    </row>
    <row r="979" spans="2:7" x14ac:dyDescent="0.25">
      <c r="B979" s="12"/>
      <c r="C979" s="13"/>
      <c r="D979" s="12"/>
      <c r="E979" s="12"/>
      <c r="F979" s="12"/>
      <c r="G979" s="12"/>
    </row>
    <row r="980" spans="2:7" x14ac:dyDescent="0.25">
      <c r="B980" s="12"/>
      <c r="C980" s="13"/>
      <c r="D980" s="12"/>
      <c r="E980" s="12"/>
      <c r="F980" s="12"/>
      <c r="G980" s="12"/>
    </row>
    <row r="981" spans="2:7" x14ac:dyDescent="0.25">
      <c r="B981" s="12"/>
      <c r="C981" s="13"/>
      <c r="D981" s="12"/>
      <c r="E981" s="12"/>
      <c r="F981" s="12"/>
      <c r="G981" s="12"/>
    </row>
    <row r="982" spans="2:7" x14ac:dyDescent="0.25">
      <c r="B982" s="12"/>
      <c r="C982" s="13"/>
      <c r="D982" s="12"/>
      <c r="E982" s="12"/>
      <c r="F982" s="12"/>
      <c r="G982" s="12"/>
    </row>
    <row r="983" spans="2:7" x14ac:dyDescent="0.25">
      <c r="B983" s="12"/>
      <c r="C983" s="13"/>
      <c r="D983" s="12"/>
      <c r="E983" s="12"/>
      <c r="F983" s="12"/>
      <c r="G983" s="12"/>
    </row>
    <row r="984" spans="2:7" x14ac:dyDescent="0.25">
      <c r="B984" s="12"/>
      <c r="C984" s="13"/>
      <c r="D984" s="12"/>
      <c r="E984" s="12"/>
      <c r="F984" s="12"/>
      <c r="G984" s="12"/>
    </row>
    <row r="985" spans="2:7" x14ac:dyDescent="0.25">
      <c r="B985" s="12"/>
      <c r="C985" s="13"/>
      <c r="D985" s="12"/>
      <c r="E985" s="12"/>
      <c r="F985" s="12"/>
      <c r="G985" s="12"/>
    </row>
    <row r="986" spans="2:7" x14ac:dyDescent="0.25">
      <c r="B986" s="12"/>
      <c r="C986" s="13"/>
      <c r="D986" s="12"/>
      <c r="E986" s="12"/>
      <c r="F986" s="12"/>
      <c r="G986" s="12"/>
    </row>
    <row r="987" spans="2:7" x14ac:dyDescent="0.25">
      <c r="B987" s="12"/>
      <c r="C987" s="13"/>
      <c r="D987" s="12"/>
      <c r="E987" s="12"/>
      <c r="F987" s="12"/>
      <c r="G987" s="12"/>
    </row>
    <row r="988" spans="2:7" x14ac:dyDescent="0.25">
      <c r="B988" s="12"/>
      <c r="C988" s="13"/>
      <c r="D988" s="12"/>
      <c r="E988" s="12"/>
      <c r="F988" s="12"/>
      <c r="G988" s="12"/>
    </row>
    <row r="989" spans="2:7" x14ac:dyDescent="0.25">
      <c r="B989" s="12"/>
      <c r="C989" s="13"/>
      <c r="D989" s="12"/>
      <c r="E989" s="12"/>
      <c r="F989" s="12"/>
      <c r="G989" s="12"/>
    </row>
    <row r="990" spans="2:7" x14ac:dyDescent="0.25">
      <c r="B990" s="12"/>
      <c r="C990" s="13"/>
      <c r="D990" s="12"/>
      <c r="E990" s="12"/>
      <c r="F990" s="12"/>
      <c r="G990" s="12"/>
    </row>
    <row r="991" spans="2:7" x14ac:dyDescent="0.25">
      <c r="B991" s="12"/>
      <c r="C991" s="13"/>
      <c r="D991" s="12"/>
      <c r="E991" s="12"/>
      <c r="F991" s="12"/>
      <c r="G991" s="12"/>
    </row>
    <row r="992" spans="2:7" x14ac:dyDescent="0.25">
      <c r="B992" s="12"/>
      <c r="C992" s="13"/>
      <c r="D992" s="12"/>
      <c r="E992" s="12"/>
      <c r="F992" s="12"/>
      <c r="G992" s="12"/>
    </row>
    <row r="993" spans="2:7" x14ac:dyDescent="0.25">
      <c r="B993" s="12"/>
      <c r="C993" s="13"/>
      <c r="D993" s="12"/>
      <c r="E993" s="12"/>
      <c r="F993" s="12"/>
      <c r="G993" s="12"/>
    </row>
    <row r="994" spans="2:7" x14ac:dyDescent="0.25">
      <c r="B994" s="12"/>
      <c r="C994" s="13"/>
      <c r="D994" s="12"/>
      <c r="E994" s="12"/>
      <c r="F994" s="12"/>
      <c r="G994" s="12"/>
    </row>
    <row r="995" spans="2:7" x14ac:dyDescent="0.25">
      <c r="B995" s="12"/>
      <c r="C995" s="13"/>
      <c r="D995" s="12"/>
      <c r="E995" s="12"/>
      <c r="F995" s="12"/>
      <c r="G995" s="12"/>
    </row>
    <row r="996" spans="2:7" x14ac:dyDescent="0.25">
      <c r="B996" s="12"/>
      <c r="C996" s="13"/>
      <c r="D996" s="12"/>
      <c r="E996" s="12"/>
      <c r="F996" s="12"/>
      <c r="G996" s="12"/>
    </row>
    <row r="997" spans="2:7" x14ac:dyDescent="0.25">
      <c r="B997" s="12"/>
      <c r="C997" s="13"/>
      <c r="D997" s="12"/>
      <c r="E997" s="12"/>
      <c r="F997" s="12"/>
      <c r="G997" s="12"/>
    </row>
    <row r="998" spans="2:7" x14ac:dyDescent="0.25">
      <c r="B998" s="12"/>
      <c r="C998" s="13"/>
      <c r="D998" s="12"/>
      <c r="E998" s="12"/>
      <c r="F998" s="12"/>
      <c r="G998" s="12"/>
    </row>
    <row r="999" spans="2:7" x14ac:dyDescent="0.25">
      <c r="B999" s="12"/>
      <c r="C999" s="13"/>
      <c r="D999" s="12"/>
      <c r="E999" s="12"/>
      <c r="F999" s="12"/>
      <c r="G999" s="12"/>
    </row>
    <row r="1000" spans="2:7" x14ac:dyDescent="0.25">
      <c r="B1000" s="12"/>
      <c r="C1000" s="13"/>
      <c r="D1000" s="12"/>
      <c r="E1000" s="12"/>
      <c r="F1000" s="12"/>
      <c r="G1000" s="12"/>
    </row>
    <row r="1001" spans="2:7" x14ac:dyDescent="0.25">
      <c r="B1001" s="12"/>
      <c r="C1001" s="13"/>
      <c r="D1001" s="12"/>
      <c r="E1001" s="12"/>
      <c r="F1001" s="12"/>
      <c r="G1001" s="12"/>
    </row>
    <row r="1002" spans="2:7" x14ac:dyDescent="0.25">
      <c r="B1002" s="12"/>
      <c r="C1002" s="13"/>
      <c r="D1002" s="12"/>
      <c r="E1002" s="12"/>
      <c r="F1002" s="12"/>
      <c r="G1002" s="12"/>
    </row>
    <row r="1003" spans="2:7" x14ac:dyDescent="0.25">
      <c r="B1003" s="12"/>
      <c r="C1003" s="13"/>
      <c r="D1003" s="12"/>
      <c r="E1003" s="12"/>
      <c r="F1003" s="12"/>
      <c r="G1003" s="12"/>
    </row>
    <row r="1004" spans="2:7" x14ac:dyDescent="0.25">
      <c r="B1004" s="12"/>
      <c r="C1004" s="13"/>
      <c r="D1004" s="12"/>
      <c r="E1004" s="12"/>
      <c r="F1004" s="12"/>
      <c r="G1004" s="12"/>
    </row>
    <row r="1005" spans="2:7" x14ac:dyDescent="0.25">
      <c r="B1005" s="12"/>
      <c r="C1005" s="13"/>
      <c r="D1005" s="12"/>
      <c r="E1005" s="12"/>
      <c r="F1005" s="12"/>
      <c r="G1005" s="12"/>
    </row>
    <row r="1006" spans="2:7" x14ac:dyDescent="0.25">
      <c r="B1006" s="12"/>
      <c r="C1006" s="13"/>
      <c r="D1006" s="12"/>
      <c r="E1006" s="12"/>
      <c r="F1006" s="12"/>
      <c r="G1006" s="12"/>
    </row>
    <row r="1007" spans="2:7" x14ac:dyDescent="0.25">
      <c r="B1007" s="12"/>
      <c r="C1007" s="13"/>
      <c r="D1007" s="12"/>
      <c r="E1007" s="12"/>
      <c r="F1007" s="12"/>
      <c r="G1007" s="12"/>
    </row>
    <row r="1008" spans="2:7" x14ac:dyDescent="0.25">
      <c r="B1008" s="12"/>
      <c r="C1008" s="13"/>
      <c r="D1008" s="12"/>
      <c r="E1008" s="12"/>
      <c r="F1008" s="12"/>
      <c r="G1008" s="12"/>
    </row>
    <row r="1009" spans="2:7" x14ac:dyDescent="0.25">
      <c r="B1009" s="12"/>
      <c r="C1009" s="13"/>
      <c r="D1009" s="12"/>
      <c r="E1009" s="12"/>
      <c r="F1009" s="12"/>
      <c r="G1009" s="12"/>
    </row>
    <row r="1010" spans="2:7" x14ac:dyDescent="0.25">
      <c r="B1010" s="12"/>
      <c r="C1010" s="13"/>
      <c r="D1010" s="12"/>
      <c r="E1010" s="12"/>
      <c r="F1010" s="12"/>
      <c r="G1010" s="12"/>
    </row>
    <row r="1011" spans="2:7" x14ac:dyDescent="0.25">
      <c r="B1011" s="12"/>
      <c r="C1011" s="13"/>
      <c r="D1011" s="12"/>
      <c r="E1011" s="12"/>
      <c r="F1011" s="12"/>
      <c r="G1011" s="12"/>
    </row>
    <row r="1012" spans="2:7" x14ac:dyDescent="0.25">
      <c r="B1012" s="12"/>
      <c r="C1012" s="13"/>
      <c r="D1012" s="12"/>
      <c r="E1012" s="12"/>
      <c r="F1012" s="12"/>
      <c r="G1012" s="12"/>
    </row>
    <row r="1013" spans="2:7" x14ac:dyDescent="0.25">
      <c r="B1013" s="12"/>
      <c r="C1013" s="13"/>
      <c r="D1013" s="12"/>
      <c r="E1013" s="12"/>
      <c r="F1013" s="12"/>
      <c r="G1013" s="12"/>
    </row>
    <row r="1014" spans="2:7" x14ac:dyDescent="0.25">
      <c r="B1014" s="12"/>
      <c r="C1014" s="13"/>
      <c r="D1014" s="12"/>
      <c r="E1014" s="12"/>
      <c r="F1014" s="12"/>
      <c r="G1014" s="12"/>
    </row>
    <row r="1015" spans="2:7" x14ac:dyDescent="0.25">
      <c r="B1015" s="12"/>
      <c r="C1015" s="13"/>
      <c r="D1015" s="12"/>
      <c r="E1015" s="12"/>
      <c r="F1015" s="12"/>
      <c r="G1015" s="12"/>
    </row>
    <row r="1016" spans="2:7" x14ac:dyDescent="0.25">
      <c r="B1016" s="12"/>
      <c r="C1016" s="13"/>
      <c r="D1016" s="12"/>
      <c r="E1016" s="12"/>
      <c r="F1016" s="12"/>
      <c r="G1016" s="12"/>
    </row>
    <row r="1017" spans="2:7" x14ac:dyDescent="0.25">
      <c r="B1017" s="12"/>
      <c r="C1017" s="13"/>
      <c r="D1017" s="12"/>
      <c r="E1017" s="12"/>
      <c r="F1017" s="12"/>
      <c r="G1017" s="12"/>
    </row>
    <row r="1018" spans="2:7" x14ac:dyDescent="0.25">
      <c r="B1018" s="12"/>
      <c r="C1018" s="13"/>
      <c r="D1018" s="12"/>
      <c r="E1018" s="12"/>
      <c r="F1018" s="12"/>
      <c r="G1018" s="12"/>
    </row>
    <row r="1019" spans="2:7" x14ac:dyDescent="0.25">
      <c r="B1019" s="12"/>
      <c r="C1019" s="13"/>
      <c r="D1019" s="12"/>
      <c r="E1019" s="12"/>
      <c r="F1019" s="12"/>
      <c r="G1019" s="12"/>
    </row>
    <row r="1020" spans="2:7" x14ac:dyDescent="0.25">
      <c r="B1020" s="12"/>
      <c r="C1020" s="13"/>
      <c r="D1020" s="12"/>
      <c r="E1020" s="12"/>
      <c r="F1020" s="12"/>
      <c r="G1020" s="12"/>
    </row>
    <row r="1021" spans="2:7" x14ac:dyDescent="0.25">
      <c r="B1021" s="12"/>
      <c r="C1021" s="13"/>
      <c r="D1021" s="12"/>
      <c r="E1021" s="12"/>
      <c r="F1021" s="12"/>
      <c r="G1021" s="12"/>
    </row>
    <row r="1022" spans="2:7" x14ac:dyDescent="0.25">
      <c r="B1022" s="225" t="s">
        <v>0</v>
      </c>
      <c r="C1022" s="225"/>
      <c r="D1022" s="225"/>
      <c r="E1022" s="225"/>
      <c r="F1022" s="225"/>
      <c r="G1022" s="225"/>
    </row>
    <row r="1023" spans="2:7" x14ac:dyDescent="0.25">
      <c r="B1023" s="225" t="s">
        <v>1</v>
      </c>
      <c r="C1023" s="225"/>
      <c r="D1023" s="225"/>
      <c r="E1023" s="225"/>
      <c r="F1023" s="225"/>
      <c r="G1023" s="225"/>
    </row>
    <row r="1024" spans="2:7" x14ac:dyDescent="0.25">
      <c r="B1024" s="225" t="s">
        <v>2</v>
      </c>
      <c r="C1024" s="225"/>
      <c r="D1024" s="225"/>
      <c r="E1024" s="225"/>
      <c r="F1024" s="225"/>
      <c r="G1024" s="225"/>
    </row>
    <row r="1025" spans="2:13" x14ac:dyDescent="0.25">
      <c r="B1025" s="225" t="s">
        <v>40</v>
      </c>
      <c r="C1025" s="225"/>
      <c r="D1025" s="225"/>
      <c r="E1025" s="225"/>
      <c r="F1025" s="225"/>
      <c r="G1025" s="225"/>
    </row>
    <row r="1026" spans="2:13" x14ac:dyDescent="0.25">
      <c r="B1026" s="225" t="s">
        <v>124</v>
      </c>
      <c r="C1026" s="225"/>
      <c r="D1026" s="225"/>
      <c r="E1026" s="225"/>
      <c r="F1026" s="225"/>
      <c r="G1026" s="225"/>
    </row>
    <row r="1027" spans="2:13" x14ac:dyDescent="0.25">
      <c r="B1027" s="159"/>
      <c r="C1027" s="159"/>
      <c r="D1027" s="159"/>
      <c r="E1027" s="159"/>
      <c r="F1027" s="159"/>
      <c r="G1027" s="12"/>
    </row>
    <row r="1028" spans="2:13" ht="15.75" thickBot="1" x14ac:dyDescent="0.3">
      <c r="B1028" s="159"/>
      <c r="C1028" s="159"/>
      <c r="D1028" s="159"/>
      <c r="E1028" s="159"/>
      <c r="F1028" s="159"/>
      <c r="G1028" s="12"/>
    </row>
    <row r="1029" spans="2:13" ht="24.75" thickBot="1" x14ac:dyDescent="0.3">
      <c r="B1029" s="2" t="s">
        <v>4</v>
      </c>
      <c r="C1029" s="3" t="s">
        <v>5</v>
      </c>
      <c r="D1029" s="3" t="s">
        <v>6</v>
      </c>
      <c r="E1029" s="4" t="s">
        <v>7</v>
      </c>
      <c r="F1029" s="3" t="s">
        <v>65</v>
      </c>
      <c r="G1029" s="3" t="s">
        <v>8</v>
      </c>
    </row>
    <row r="1030" spans="2:13" x14ac:dyDescent="0.25">
      <c r="B1030" s="226" t="s">
        <v>25</v>
      </c>
      <c r="C1030" s="228">
        <v>60305.57</v>
      </c>
      <c r="D1030" s="245">
        <v>57485.45</v>
      </c>
      <c r="E1030" s="229">
        <f>58598.89-D1030</f>
        <v>1113.4400000000023</v>
      </c>
      <c r="F1030" s="228">
        <f>D1030+E1030</f>
        <v>58598.89</v>
      </c>
      <c r="G1030" s="228">
        <f>C1030-D1030-E1030</f>
        <v>1706.6800000000003</v>
      </c>
    </row>
    <row r="1031" spans="2:13" ht="15.75" thickBot="1" x14ac:dyDescent="0.3">
      <c r="B1031" s="227"/>
      <c r="C1031" s="215"/>
      <c r="D1031" s="234"/>
      <c r="E1031" s="230"/>
      <c r="F1031" s="215"/>
      <c r="G1031" s="215"/>
    </row>
    <row r="1032" spans="2:13" x14ac:dyDescent="0.25">
      <c r="B1032" s="231" t="s">
        <v>26</v>
      </c>
      <c r="C1032" s="215">
        <v>14450</v>
      </c>
      <c r="D1032" s="216">
        <v>7581.87</v>
      </c>
      <c r="E1032" s="236">
        <f>7921.49-D1032</f>
        <v>339.61999999999989</v>
      </c>
      <c r="F1032" s="216">
        <f>D1032+E1032</f>
        <v>7921.49</v>
      </c>
      <c r="G1032" s="228">
        <f>C1032-D1032-E1032</f>
        <v>6528.51</v>
      </c>
    </row>
    <row r="1033" spans="2:13" ht="15.75" thickBot="1" x14ac:dyDescent="0.3">
      <c r="B1033" s="231"/>
      <c r="C1033" s="215"/>
      <c r="D1033" s="234"/>
      <c r="E1033" s="263"/>
      <c r="F1033" s="217"/>
      <c r="G1033" s="215"/>
    </row>
    <row r="1034" spans="2:13" x14ac:dyDescent="0.25">
      <c r="B1034" s="231" t="s">
        <v>27</v>
      </c>
      <c r="C1034" s="215">
        <v>0</v>
      </c>
      <c r="D1034" s="216">
        <v>0</v>
      </c>
      <c r="E1034" s="236">
        <f>0-D1034</f>
        <v>0</v>
      </c>
      <c r="F1034" s="216">
        <f t="shared" ref="F1034" si="32">D1034+E1034</f>
        <v>0</v>
      </c>
      <c r="G1034" s="228">
        <f>C1034-D1034-E1034</f>
        <v>0</v>
      </c>
    </row>
    <row r="1035" spans="2:13" ht="15.75" thickBot="1" x14ac:dyDescent="0.3">
      <c r="B1035" s="231"/>
      <c r="C1035" s="215"/>
      <c r="D1035" s="234"/>
      <c r="E1035" s="263"/>
      <c r="F1035" s="217"/>
      <c r="G1035" s="215"/>
    </row>
    <row r="1036" spans="2:13" ht="30.75" thickBot="1" x14ac:dyDescent="0.3">
      <c r="B1036" s="231" t="s">
        <v>28</v>
      </c>
      <c r="C1036" s="215">
        <v>0</v>
      </c>
      <c r="D1036" s="216">
        <v>0</v>
      </c>
      <c r="E1036" s="236">
        <f>C1036-D1036</f>
        <v>0</v>
      </c>
      <c r="F1036" s="216">
        <f t="shared" ref="F1036" si="33">D1036+E1036</f>
        <v>0</v>
      </c>
      <c r="G1036" s="228">
        <f>C1036-D1036-E1036</f>
        <v>0</v>
      </c>
      <c r="H1036" s="155" t="s">
        <v>67</v>
      </c>
      <c r="I1036" s="154" t="s">
        <v>60</v>
      </c>
      <c r="J1036" s="120" t="s">
        <v>61</v>
      </c>
      <c r="K1036" s="126" t="s">
        <v>66</v>
      </c>
      <c r="L1036" s="133" t="s">
        <v>62</v>
      </c>
      <c r="M1036" s="137" t="s">
        <v>63</v>
      </c>
    </row>
    <row r="1037" spans="2:13" ht="15.75" thickBot="1" x14ac:dyDescent="0.3">
      <c r="B1037" s="232"/>
      <c r="C1037" s="216"/>
      <c r="D1037" s="244"/>
      <c r="E1037" s="264"/>
      <c r="F1037" s="217"/>
      <c r="G1037" s="239"/>
      <c r="H1037" s="58">
        <v>100</v>
      </c>
      <c r="I1037" s="59">
        <f>I1038*100/H1038</f>
        <v>87.040096142668688</v>
      </c>
      <c r="J1037" s="59">
        <f>J1038*100/H1038</f>
        <v>1.9437481380986088</v>
      </c>
      <c r="K1037" s="59">
        <f>K1038*100/H1038</f>
        <v>88.9838442807673</v>
      </c>
      <c r="L1037" s="98">
        <f>L1038*100/H1038</f>
        <v>11.016155719232696</v>
      </c>
      <c r="M1037" s="112">
        <f>M1038*100/H1038</f>
        <v>12.959903857331309</v>
      </c>
    </row>
    <row r="1038" spans="2:13" ht="15.75" thickBot="1" x14ac:dyDescent="0.3">
      <c r="B1038" s="14" t="s">
        <v>13</v>
      </c>
      <c r="C1038" s="21">
        <f>SUM(C1030:C1037)</f>
        <v>74755.570000000007</v>
      </c>
      <c r="D1038" s="21">
        <f>SUM(D1030:D1037)</f>
        <v>65067.32</v>
      </c>
      <c r="E1038" s="149">
        <f>SUM(E1030:E1037)</f>
        <v>1453.0600000000022</v>
      </c>
      <c r="F1038" s="16">
        <f>D1038+E1038</f>
        <v>66520.38</v>
      </c>
      <c r="G1038" s="46">
        <f>C1038-D1038-E1038</f>
        <v>8235.190000000006</v>
      </c>
      <c r="H1038" s="80">
        <f>+C1038</f>
        <v>74755.570000000007</v>
      </c>
      <c r="I1038" s="82">
        <f>+D1038</f>
        <v>65067.32</v>
      </c>
      <c r="J1038" s="82">
        <f>+E1038</f>
        <v>1453.0600000000022</v>
      </c>
      <c r="K1038" s="82">
        <f>I1038+J1038</f>
        <v>66520.38</v>
      </c>
      <c r="L1038" s="95">
        <f>H1038-K1038</f>
        <v>8235.1900000000023</v>
      </c>
      <c r="M1038" s="97">
        <f>H1038-I1038</f>
        <v>9688.2500000000073</v>
      </c>
    </row>
    <row r="1039" spans="2:13" x14ac:dyDescent="0.25">
      <c r="B1039" s="224" t="s">
        <v>29</v>
      </c>
      <c r="C1039" s="234">
        <v>0</v>
      </c>
      <c r="D1039" s="245">
        <v>0</v>
      </c>
      <c r="E1039" s="265">
        <f>0-D1039</f>
        <v>0</v>
      </c>
      <c r="F1039" s="216">
        <f t="shared" ref="F1039" si="34">D1039+E1039</f>
        <v>0</v>
      </c>
      <c r="G1039" s="218">
        <f>C1039-D1039-E1039</f>
        <v>0</v>
      </c>
    </row>
    <row r="1040" spans="2:13" ht="15.75" thickBot="1" x14ac:dyDescent="0.3">
      <c r="B1040" s="214"/>
      <c r="C1040" s="215"/>
      <c r="D1040" s="234"/>
      <c r="E1040" s="263"/>
      <c r="F1040" s="217"/>
      <c r="G1040" s="219"/>
    </row>
    <row r="1041" spans="2:13" x14ac:dyDescent="0.25">
      <c r="B1041" s="214" t="s">
        <v>30</v>
      </c>
      <c r="C1041" s="215">
        <v>0</v>
      </c>
      <c r="D1041" s="216">
        <v>0</v>
      </c>
      <c r="E1041" s="236">
        <f>0-D1041</f>
        <v>0</v>
      </c>
      <c r="F1041" s="216">
        <f t="shared" ref="F1041" si="35">D1041+E1041</f>
        <v>0</v>
      </c>
      <c r="G1041" s="218">
        <f>C1041-D1041-E1041</f>
        <v>0</v>
      </c>
    </row>
    <row r="1042" spans="2:13" ht="15.75" thickBot="1" x14ac:dyDescent="0.3">
      <c r="B1042" s="214"/>
      <c r="C1042" s="215"/>
      <c r="D1042" s="234"/>
      <c r="E1042" s="263"/>
      <c r="F1042" s="217"/>
      <c r="G1042" s="219"/>
    </row>
    <row r="1043" spans="2:13" x14ac:dyDescent="0.25">
      <c r="B1043" s="214" t="s">
        <v>31</v>
      </c>
      <c r="C1043" s="215">
        <v>0</v>
      </c>
      <c r="D1043" s="216">
        <v>0</v>
      </c>
      <c r="E1043" s="236">
        <f>0-D1043</f>
        <v>0</v>
      </c>
      <c r="F1043" s="216">
        <f t="shared" ref="F1043" si="36">D1043+E1043</f>
        <v>0</v>
      </c>
      <c r="G1043" s="218">
        <f>C1043-D1043-E1043</f>
        <v>0</v>
      </c>
    </row>
    <row r="1044" spans="2:13" ht="15.75" thickBot="1" x14ac:dyDescent="0.3">
      <c r="B1044" s="214"/>
      <c r="C1044" s="215"/>
      <c r="D1044" s="234"/>
      <c r="E1044" s="263"/>
      <c r="F1044" s="217"/>
      <c r="G1044" s="219"/>
    </row>
    <row r="1045" spans="2:13" x14ac:dyDescent="0.25">
      <c r="B1045" s="214" t="s">
        <v>32</v>
      </c>
      <c r="C1045" s="215">
        <v>4800</v>
      </c>
      <c r="D1045" s="216">
        <v>0</v>
      </c>
      <c r="E1045" s="236">
        <f>1916-D1045</f>
        <v>1916</v>
      </c>
      <c r="F1045" s="216">
        <f t="shared" ref="F1045" si="37">D1045+E1045</f>
        <v>1916</v>
      </c>
      <c r="G1045" s="218">
        <f>C1045-D1045-E1045</f>
        <v>2884</v>
      </c>
    </row>
    <row r="1046" spans="2:13" ht="15.75" thickBot="1" x14ac:dyDescent="0.3">
      <c r="B1046" s="214"/>
      <c r="C1046" s="215"/>
      <c r="D1046" s="234"/>
      <c r="E1046" s="263"/>
      <c r="F1046" s="217"/>
      <c r="G1046" s="219"/>
    </row>
    <row r="1047" spans="2:13" x14ac:dyDescent="0.25">
      <c r="B1047" s="214" t="s">
        <v>33</v>
      </c>
      <c r="C1047" s="215">
        <v>0</v>
      </c>
      <c r="D1047" s="216">
        <v>0</v>
      </c>
      <c r="E1047" s="236">
        <f>0-D1047</f>
        <v>0</v>
      </c>
      <c r="F1047" s="216">
        <f t="shared" ref="F1047" si="38">D1047+E1047</f>
        <v>0</v>
      </c>
      <c r="G1047" s="218">
        <f>C1047-D1047-E1047</f>
        <v>0</v>
      </c>
    </row>
    <row r="1048" spans="2:13" ht="15.75" thickBot="1" x14ac:dyDescent="0.3">
      <c r="B1048" s="214"/>
      <c r="C1048" s="215"/>
      <c r="D1048" s="234"/>
      <c r="E1048" s="263"/>
      <c r="F1048" s="217"/>
      <c r="G1048" s="219"/>
    </row>
    <row r="1049" spans="2:13" x14ac:dyDescent="0.25">
      <c r="B1049" s="214" t="s">
        <v>34</v>
      </c>
      <c r="C1049" s="215">
        <v>0</v>
      </c>
      <c r="D1049" s="216">
        <v>0</v>
      </c>
      <c r="E1049" s="236">
        <f>C1049-D1049</f>
        <v>0</v>
      </c>
      <c r="F1049" s="216">
        <f t="shared" ref="F1049" si="39">D1049+E1049</f>
        <v>0</v>
      </c>
      <c r="G1049" s="218">
        <f>C1049-D1049-E1049</f>
        <v>0</v>
      </c>
    </row>
    <row r="1050" spans="2:13" ht="15.75" thickBot="1" x14ac:dyDescent="0.3">
      <c r="B1050" s="214"/>
      <c r="C1050" s="215"/>
      <c r="D1050" s="234"/>
      <c r="E1050" s="263"/>
      <c r="F1050" s="217"/>
      <c r="G1050" s="219"/>
    </row>
    <row r="1051" spans="2:13" x14ac:dyDescent="0.25">
      <c r="B1051" s="214" t="s">
        <v>35</v>
      </c>
      <c r="C1051" s="215">
        <v>0</v>
      </c>
      <c r="D1051" s="216">
        <v>0</v>
      </c>
      <c r="E1051" s="236">
        <f>C1051-D1051</f>
        <v>0</v>
      </c>
      <c r="F1051" s="216">
        <f t="shared" ref="F1051" si="40">D1051+E1051</f>
        <v>0</v>
      </c>
      <c r="G1051" s="218">
        <f>C1051-D1051-E1051</f>
        <v>0</v>
      </c>
    </row>
    <row r="1052" spans="2:13" ht="15.75" thickBot="1" x14ac:dyDescent="0.3">
      <c r="B1052" s="214"/>
      <c r="C1052" s="215"/>
      <c r="D1052" s="234"/>
      <c r="E1052" s="263"/>
      <c r="F1052" s="217"/>
      <c r="G1052" s="219"/>
    </row>
    <row r="1053" spans="2:13" ht="30.75" thickBot="1" x14ac:dyDescent="0.3">
      <c r="B1053" s="214" t="s">
        <v>36</v>
      </c>
      <c r="C1053" s="215">
        <v>0</v>
      </c>
      <c r="D1053" s="216">
        <v>0</v>
      </c>
      <c r="E1053" s="236">
        <f>C1053-D1053</f>
        <v>0</v>
      </c>
      <c r="F1053" s="216">
        <f t="shared" ref="F1053" si="41">D1053+E1053</f>
        <v>0</v>
      </c>
      <c r="G1053" s="218">
        <f>C1053-D1053-E1053</f>
        <v>0</v>
      </c>
      <c r="H1053" s="155" t="s">
        <v>67</v>
      </c>
      <c r="I1053" s="154" t="s">
        <v>60</v>
      </c>
      <c r="J1053" s="120" t="s">
        <v>61</v>
      </c>
      <c r="K1053" s="126" t="s">
        <v>66</v>
      </c>
      <c r="L1053" s="133" t="s">
        <v>62</v>
      </c>
      <c r="M1053" s="137" t="s">
        <v>63</v>
      </c>
    </row>
    <row r="1054" spans="2:13" ht="15.75" thickBot="1" x14ac:dyDescent="0.3">
      <c r="B1054" s="220"/>
      <c r="C1054" s="221"/>
      <c r="D1054" s="244"/>
      <c r="E1054" s="263"/>
      <c r="F1054" s="217"/>
      <c r="G1054" s="219"/>
      <c r="H1054" s="30">
        <v>100</v>
      </c>
      <c r="I1054" s="38">
        <f>I1055*100/H1055</f>
        <v>0</v>
      </c>
      <c r="J1054" s="38">
        <f>J1055*100/H1055</f>
        <v>39.916666666666664</v>
      </c>
      <c r="K1054" s="31">
        <f>(D1055+E1055)*100/C1055</f>
        <v>39.916666666666664</v>
      </c>
      <c r="L1054" s="89">
        <f>G1055*100/C1055</f>
        <v>60.083333333333336</v>
      </c>
      <c r="M1054" s="112">
        <f>M1055*100/H1055</f>
        <v>100</v>
      </c>
    </row>
    <row r="1055" spans="2:13" ht="15.75" thickBot="1" x14ac:dyDescent="0.3">
      <c r="B1055" s="14" t="s">
        <v>22</v>
      </c>
      <c r="C1055" s="15">
        <f>SUM(C1039:C1054)</f>
        <v>4800</v>
      </c>
      <c r="D1055" s="15">
        <f>SUM(D1039:D1053)</f>
        <v>0</v>
      </c>
      <c r="E1055" s="46">
        <f>SUM(E1039:E1054)</f>
        <v>1916</v>
      </c>
      <c r="F1055" s="16">
        <f>D1055+E1055</f>
        <v>1916</v>
      </c>
      <c r="G1055" s="55">
        <f>C1055-D1055-E1055</f>
        <v>2884</v>
      </c>
      <c r="H1055" s="41">
        <f>K1055+L1055</f>
        <v>4800</v>
      </c>
      <c r="I1055" s="42">
        <f>+D1055</f>
        <v>0</v>
      </c>
      <c r="J1055" s="42">
        <f>+E1055</f>
        <v>1916</v>
      </c>
      <c r="K1055" s="43">
        <f>D1055+E1055</f>
        <v>1916</v>
      </c>
      <c r="L1055" s="109">
        <f>+G1055</f>
        <v>2884</v>
      </c>
      <c r="M1055" s="97">
        <f>H1055-I1055</f>
        <v>4800</v>
      </c>
    </row>
    <row r="1056" spans="2:13" ht="15.75" thickBot="1" x14ac:dyDescent="0.3">
      <c r="B1056" s="17" t="s">
        <v>23</v>
      </c>
      <c r="C1056" s="18">
        <f>C1038+C1055</f>
        <v>79555.570000000007</v>
      </c>
      <c r="D1056" s="19">
        <f>D1055+D1038</f>
        <v>65067.32</v>
      </c>
      <c r="E1056" s="28">
        <f>E1038+E1055</f>
        <v>3369.0600000000022</v>
      </c>
      <c r="F1056" s="16">
        <f>D1056+E1056</f>
        <v>68436.38</v>
      </c>
      <c r="G1056" s="28">
        <f>C1056-D1056-E1056</f>
        <v>11119.190000000006</v>
      </c>
      <c r="H1056" s="50">
        <f>+C1056</f>
        <v>79555.570000000007</v>
      </c>
      <c r="I1056" s="51">
        <f>+D1056</f>
        <v>65067.32</v>
      </c>
      <c r="J1056" s="51">
        <f>+E1056</f>
        <v>3369.0600000000022</v>
      </c>
      <c r="K1056" s="51">
        <f>I1056+J1056</f>
        <v>68436.38</v>
      </c>
      <c r="L1056" s="100">
        <f>H1056-K1056</f>
        <v>11119.190000000002</v>
      </c>
      <c r="M1056" s="112">
        <f>H1056-I1056</f>
        <v>14488.250000000007</v>
      </c>
    </row>
    <row r="1057" spans="2:13" ht="15.75" thickBot="1" x14ac:dyDescent="0.3">
      <c r="B1057" s="12"/>
      <c r="C1057" s="13"/>
      <c r="D1057" s="12"/>
      <c r="E1057" s="12"/>
      <c r="F1057" s="12"/>
      <c r="G1057" s="12"/>
      <c r="H1057" s="129">
        <v>100</v>
      </c>
      <c r="I1057" s="130">
        <f>I1056*100/H1056</f>
        <v>81.788515876386782</v>
      </c>
      <c r="J1057" s="130">
        <f>J1056*100/H1056</f>
        <v>4.2348511864097036</v>
      </c>
      <c r="K1057" s="130">
        <f>K1056*100/H1056</f>
        <v>86.023367062796481</v>
      </c>
      <c r="L1057" s="131">
        <f>L1056*100/H1056</f>
        <v>13.976632937203519</v>
      </c>
      <c r="M1057" s="125">
        <f>M1056*100/H1056</f>
        <v>18.211484123613225</v>
      </c>
    </row>
    <row r="1058" spans="2:13" x14ac:dyDescent="0.25">
      <c r="B1058" s="12"/>
      <c r="C1058" s="13"/>
      <c r="D1058" s="12"/>
      <c r="E1058" s="12"/>
      <c r="F1058" s="12"/>
      <c r="G1058" s="12"/>
    </row>
    <row r="1059" spans="2:13" x14ac:dyDescent="0.25">
      <c r="B1059" s="12"/>
      <c r="C1059" s="13"/>
      <c r="D1059" s="12"/>
      <c r="E1059" s="12"/>
      <c r="F1059" s="12"/>
      <c r="G1059" s="12"/>
    </row>
    <row r="1060" spans="2:13" x14ac:dyDescent="0.25">
      <c r="B1060" s="12"/>
      <c r="C1060" s="13"/>
      <c r="D1060" s="12"/>
      <c r="E1060" s="12"/>
      <c r="F1060" s="12"/>
      <c r="G1060" s="12"/>
    </row>
    <row r="1061" spans="2:13" x14ac:dyDescent="0.25">
      <c r="B1061" s="12"/>
      <c r="C1061" s="13"/>
      <c r="D1061" s="12"/>
      <c r="E1061" s="12"/>
      <c r="F1061" s="12"/>
      <c r="G1061" s="12"/>
    </row>
    <row r="1062" spans="2:13" x14ac:dyDescent="0.25">
      <c r="B1062" s="12"/>
      <c r="C1062" s="13"/>
      <c r="D1062" s="12"/>
      <c r="E1062" s="12"/>
      <c r="F1062" s="12"/>
      <c r="G1062" s="12"/>
    </row>
    <row r="1063" spans="2:13" x14ac:dyDescent="0.25">
      <c r="B1063" s="12"/>
      <c r="C1063" s="13"/>
      <c r="D1063" s="12"/>
      <c r="E1063" s="12"/>
      <c r="F1063" s="12"/>
      <c r="G1063" s="12"/>
    </row>
    <row r="1064" spans="2:13" x14ac:dyDescent="0.25">
      <c r="B1064" s="12"/>
      <c r="C1064" s="13"/>
      <c r="D1064" s="12"/>
      <c r="E1064" s="12"/>
      <c r="F1064" s="12"/>
      <c r="G1064" s="12"/>
    </row>
    <row r="1065" spans="2:13" x14ac:dyDescent="0.25">
      <c r="B1065" s="12"/>
      <c r="C1065" s="13"/>
      <c r="D1065" s="12"/>
      <c r="E1065" s="12"/>
      <c r="F1065" s="12"/>
      <c r="G1065" s="12"/>
    </row>
    <row r="1066" spans="2:13" x14ac:dyDescent="0.25">
      <c r="B1066" s="12"/>
      <c r="C1066" s="13"/>
      <c r="D1066" s="12"/>
      <c r="E1066" s="12"/>
      <c r="F1066" s="12"/>
      <c r="G1066" s="12"/>
    </row>
    <row r="1067" spans="2:13" x14ac:dyDescent="0.25">
      <c r="B1067" s="12"/>
      <c r="C1067" s="13"/>
      <c r="D1067" s="12"/>
      <c r="E1067" s="12"/>
      <c r="F1067" s="12"/>
      <c r="G1067" s="12"/>
    </row>
    <row r="1068" spans="2:13" x14ac:dyDescent="0.25">
      <c r="B1068" s="12"/>
      <c r="C1068" s="13"/>
      <c r="D1068" s="12"/>
      <c r="E1068" s="12"/>
      <c r="F1068" s="12"/>
      <c r="G1068" s="12"/>
    </row>
    <row r="1069" spans="2:13" x14ac:dyDescent="0.25">
      <c r="B1069" s="12"/>
      <c r="C1069" s="13"/>
      <c r="D1069" s="12"/>
      <c r="E1069" s="12"/>
      <c r="F1069" s="12"/>
      <c r="G1069" s="12"/>
    </row>
    <row r="1070" spans="2:13" x14ac:dyDescent="0.25">
      <c r="B1070" s="12"/>
      <c r="C1070" s="13"/>
      <c r="D1070" s="12"/>
      <c r="E1070" s="12"/>
      <c r="F1070" s="12"/>
      <c r="G1070" s="12"/>
    </row>
    <row r="1071" spans="2:13" x14ac:dyDescent="0.25">
      <c r="B1071" s="12"/>
      <c r="C1071" s="13"/>
      <c r="D1071" s="12"/>
      <c r="E1071" s="12"/>
      <c r="F1071" s="12"/>
      <c r="G1071" s="12"/>
    </row>
    <row r="1072" spans="2:13" x14ac:dyDescent="0.25">
      <c r="B1072" s="12"/>
      <c r="C1072" s="13"/>
      <c r="D1072" s="12"/>
      <c r="E1072" s="12"/>
      <c r="F1072" s="12"/>
      <c r="G1072" s="12"/>
    </row>
    <row r="1073" spans="2:12" x14ac:dyDescent="0.25">
      <c r="B1073" s="12"/>
      <c r="C1073" s="13"/>
      <c r="D1073" s="12"/>
      <c r="E1073" s="12"/>
      <c r="F1073" s="12"/>
      <c r="G1073" s="12"/>
    </row>
    <row r="1074" spans="2:12" x14ac:dyDescent="0.25">
      <c r="B1074" s="225" t="s">
        <v>0</v>
      </c>
      <c r="C1074" s="225"/>
      <c r="D1074" s="225"/>
      <c r="E1074" s="225"/>
      <c r="F1074" s="225"/>
      <c r="G1074" s="225"/>
    </row>
    <row r="1075" spans="2:12" x14ac:dyDescent="0.25">
      <c r="B1075" s="225" t="s">
        <v>1</v>
      </c>
      <c r="C1075" s="225"/>
      <c r="D1075" s="225"/>
      <c r="E1075" s="225"/>
      <c r="F1075" s="225"/>
      <c r="G1075" s="225"/>
    </row>
    <row r="1076" spans="2:12" x14ac:dyDescent="0.25">
      <c r="B1076" s="225" t="s">
        <v>2</v>
      </c>
      <c r="C1076" s="225"/>
      <c r="D1076" s="225"/>
      <c r="E1076" s="225"/>
      <c r="F1076" s="225"/>
      <c r="G1076" s="225"/>
    </row>
    <row r="1077" spans="2:12" x14ac:dyDescent="0.25">
      <c r="B1077" s="225" t="s">
        <v>40</v>
      </c>
      <c r="C1077" s="225"/>
      <c r="D1077" s="225"/>
      <c r="E1077" s="225"/>
      <c r="F1077" s="225"/>
      <c r="G1077" s="225"/>
    </row>
    <row r="1078" spans="2:12" x14ac:dyDescent="0.25">
      <c r="B1078" s="225" t="s">
        <v>124</v>
      </c>
      <c r="C1078" s="225"/>
      <c r="D1078" s="225"/>
      <c r="E1078" s="225"/>
      <c r="F1078" s="225"/>
      <c r="G1078" s="225"/>
    </row>
    <row r="1079" spans="2:12" ht="15.75" thickBot="1" x14ac:dyDescent="0.3">
      <c r="B1079" s="12"/>
      <c r="C1079" s="13"/>
      <c r="D1079" s="12"/>
      <c r="E1079" s="12"/>
      <c r="F1079" s="12"/>
      <c r="G1079" s="12"/>
    </row>
    <row r="1080" spans="2:12" ht="36.75" thickBot="1" x14ac:dyDescent="0.3">
      <c r="B1080" s="188"/>
      <c r="C1080" s="184" t="s">
        <v>5</v>
      </c>
      <c r="D1080" s="173" t="s">
        <v>72</v>
      </c>
      <c r="E1080" s="172" t="s">
        <v>6</v>
      </c>
      <c r="F1080" s="161" t="s">
        <v>60</v>
      </c>
      <c r="G1080" s="172" t="s">
        <v>7</v>
      </c>
      <c r="H1080" s="179" t="s">
        <v>98</v>
      </c>
      <c r="I1080" s="172" t="s">
        <v>65</v>
      </c>
      <c r="J1080" s="180" t="s">
        <v>99</v>
      </c>
      <c r="K1080" s="177" t="s">
        <v>8</v>
      </c>
      <c r="L1080" s="181" t="s">
        <v>100</v>
      </c>
    </row>
    <row r="1081" spans="2:12" ht="15.75" thickBot="1" x14ac:dyDescent="0.3">
      <c r="B1081" s="193" t="s">
        <v>118</v>
      </c>
      <c r="C1081" s="182">
        <v>79555.570000000007</v>
      </c>
      <c r="D1081" s="174">
        <v>1</v>
      </c>
      <c r="E1081" s="170">
        <v>65067.32</v>
      </c>
      <c r="F1081" s="175">
        <f>E1081/C1081</f>
        <v>0.81788515876386769</v>
      </c>
      <c r="G1081" s="170">
        <v>3369.06</v>
      </c>
      <c r="H1081" s="175">
        <f>G1081/C1081</f>
        <v>4.2348511864097001E-2</v>
      </c>
      <c r="I1081" s="170">
        <f>E1081+G1081</f>
        <v>68436.38</v>
      </c>
      <c r="J1081" s="175">
        <f>I1081/C1081</f>
        <v>0.86023367062796485</v>
      </c>
      <c r="K1081" s="189">
        <f>C1081-I1081</f>
        <v>11119.190000000002</v>
      </c>
      <c r="L1081" s="190">
        <f>K1081/C1081</f>
        <v>0.13976632937203518</v>
      </c>
    </row>
    <row r="1082" spans="2:12" x14ac:dyDescent="0.25">
      <c r="B1082" s="12"/>
      <c r="C1082" s="13"/>
      <c r="D1082" s="12"/>
      <c r="E1082" s="12"/>
      <c r="F1082" s="12"/>
      <c r="G1082" s="12"/>
    </row>
    <row r="1083" spans="2:12" x14ac:dyDescent="0.25">
      <c r="B1083" s="12"/>
      <c r="C1083" s="13"/>
      <c r="D1083" s="12"/>
      <c r="E1083" s="12"/>
      <c r="F1083" s="12"/>
      <c r="G1083" s="12"/>
    </row>
    <row r="1084" spans="2:12" x14ac:dyDescent="0.25">
      <c r="B1084" s="12"/>
      <c r="C1084" s="13"/>
      <c r="D1084" s="12"/>
      <c r="E1084" s="12"/>
      <c r="F1084" s="12"/>
      <c r="G1084" s="12"/>
    </row>
    <row r="1085" spans="2:12" x14ac:dyDescent="0.25">
      <c r="B1085" s="12"/>
      <c r="C1085" s="13"/>
      <c r="D1085" s="12"/>
      <c r="E1085" s="12"/>
      <c r="F1085" s="12"/>
      <c r="G1085" s="12"/>
    </row>
    <row r="1086" spans="2:12" x14ac:dyDescent="0.25">
      <c r="B1086" s="12"/>
      <c r="C1086" s="13"/>
      <c r="D1086" s="12"/>
      <c r="E1086" s="12"/>
      <c r="F1086" s="12"/>
      <c r="G1086" s="12"/>
    </row>
    <row r="1087" spans="2:12" x14ac:dyDescent="0.25">
      <c r="B1087" s="12"/>
      <c r="C1087" s="13"/>
      <c r="D1087" s="12"/>
      <c r="E1087" s="12"/>
      <c r="F1087" s="12"/>
      <c r="G1087" s="12"/>
    </row>
    <row r="1088" spans="2:12" x14ac:dyDescent="0.25">
      <c r="B1088" s="12"/>
      <c r="C1088" s="13"/>
      <c r="D1088" s="12"/>
      <c r="E1088" s="12"/>
      <c r="F1088" s="12"/>
      <c r="G1088" s="12"/>
    </row>
    <row r="1089" spans="2:7" x14ac:dyDescent="0.25">
      <c r="B1089" s="12"/>
      <c r="C1089" s="13"/>
      <c r="D1089" s="12"/>
      <c r="E1089" s="12"/>
      <c r="F1089" s="12"/>
      <c r="G1089" s="12"/>
    </row>
    <row r="1090" spans="2:7" x14ac:dyDescent="0.25">
      <c r="B1090" s="12"/>
      <c r="C1090" s="13"/>
      <c r="D1090" s="12"/>
      <c r="E1090" s="12"/>
      <c r="F1090" s="12"/>
      <c r="G1090" s="12"/>
    </row>
    <row r="1091" spans="2:7" x14ac:dyDescent="0.25">
      <c r="B1091" s="12"/>
      <c r="C1091" s="13"/>
      <c r="D1091" s="12"/>
      <c r="E1091" s="12"/>
      <c r="F1091" s="12"/>
      <c r="G1091" s="12"/>
    </row>
    <row r="1092" spans="2:7" x14ac:dyDescent="0.25">
      <c r="B1092" s="12"/>
      <c r="C1092" s="13"/>
      <c r="D1092" s="12"/>
      <c r="E1092" s="12"/>
      <c r="F1092" s="12"/>
      <c r="G1092" s="12"/>
    </row>
    <row r="1093" spans="2:7" x14ac:dyDescent="0.25">
      <c r="B1093" s="12"/>
      <c r="C1093" s="13"/>
      <c r="D1093" s="12"/>
      <c r="E1093" s="12"/>
      <c r="F1093" s="12"/>
      <c r="G1093" s="12"/>
    </row>
    <row r="1094" spans="2:7" x14ac:dyDescent="0.25">
      <c r="B1094" s="12"/>
      <c r="C1094" s="13"/>
      <c r="D1094" s="12"/>
      <c r="E1094" s="12"/>
      <c r="F1094" s="12"/>
      <c r="G1094" s="12"/>
    </row>
    <row r="1095" spans="2:7" x14ac:dyDescent="0.25">
      <c r="B1095" s="12"/>
      <c r="C1095" s="13"/>
      <c r="D1095" s="12"/>
      <c r="E1095" s="12"/>
      <c r="F1095" s="12"/>
      <c r="G1095" s="12"/>
    </row>
    <row r="1096" spans="2:7" x14ac:dyDescent="0.25">
      <c r="B1096" s="12"/>
      <c r="C1096" s="13"/>
      <c r="D1096" s="12"/>
      <c r="E1096" s="12"/>
      <c r="F1096" s="12"/>
      <c r="G1096" s="12"/>
    </row>
    <row r="1097" spans="2:7" x14ac:dyDescent="0.25">
      <c r="B1097" s="12"/>
      <c r="C1097" s="13"/>
      <c r="D1097" s="12"/>
      <c r="E1097" s="12"/>
      <c r="F1097" s="12"/>
      <c r="G1097" s="12"/>
    </row>
    <row r="1098" spans="2:7" x14ac:dyDescent="0.25">
      <c r="B1098" s="12"/>
      <c r="C1098" s="13"/>
      <c r="D1098" s="12"/>
      <c r="E1098" s="12"/>
      <c r="F1098" s="12"/>
      <c r="G1098" s="12"/>
    </row>
    <row r="1099" spans="2:7" x14ac:dyDescent="0.25">
      <c r="B1099" s="12"/>
      <c r="C1099" s="13"/>
      <c r="D1099" s="12"/>
      <c r="E1099" s="12"/>
      <c r="F1099" s="12"/>
      <c r="G1099" s="12"/>
    </row>
    <row r="1100" spans="2:7" x14ac:dyDescent="0.25">
      <c r="B1100" s="12"/>
      <c r="C1100" s="13"/>
      <c r="D1100" s="12"/>
      <c r="E1100" s="12"/>
      <c r="F1100" s="12"/>
      <c r="G1100" s="12"/>
    </row>
    <row r="1101" spans="2:7" x14ac:dyDescent="0.25">
      <c r="B1101" s="12"/>
      <c r="C1101" s="13"/>
      <c r="D1101" s="12"/>
      <c r="E1101" s="12"/>
      <c r="F1101" s="12"/>
      <c r="G1101" s="12"/>
    </row>
    <row r="1102" spans="2:7" x14ac:dyDescent="0.25">
      <c r="B1102" s="12"/>
      <c r="C1102" s="13"/>
      <c r="D1102" s="12"/>
      <c r="E1102" s="12"/>
      <c r="F1102" s="12"/>
      <c r="G1102" s="12"/>
    </row>
    <row r="1103" spans="2:7" x14ac:dyDescent="0.25">
      <c r="B1103" s="12"/>
      <c r="C1103" s="13"/>
      <c r="D1103" s="12"/>
      <c r="E1103" s="12"/>
      <c r="F1103" s="12"/>
      <c r="G1103" s="12"/>
    </row>
    <row r="1104" spans="2:7" x14ac:dyDescent="0.25">
      <c r="B1104" s="12"/>
      <c r="C1104" s="13"/>
      <c r="D1104" s="12"/>
      <c r="E1104" s="12"/>
      <c r="F1104" s="12"/>
      <c r="G1104" s="12"/>
    </row>
    <row r="1105" spans="2:7" x14ac:dyDescent="0.25">
      <c r="B1105" s="12"/>
      <c r="C1105" s="13"/>
      <c r="D1105" s="12"/>
      <c r="E1105" s="12"/>
      <c r="F1105" s="12"/>
      <c r="G1105" s="12"/>
    </row>
    <row r="1106" spans="2:7" x14ac:dyDescent="0.25">
      <c r="B1106" s="12"/>
      <c r="C1106" s="13"/>
      <c r="D1106" s="12"/>
      <c r="E1106" s="12"/>
      <c r="F1106" s="12"/>
      <c r="G1106" s="12"/>
    </row>
    <row r="1107" spans="2:7" x14ac:dyDescent="0.25">
      <c r="B1107" s="12"/>
      <c r="C1107" s="13"/>
      <c r="D1107" s="12"/>
      <c r="E1107" s="12"/>
      <c r="F1107" s="12"/>
      <c r="G1107" s="12"/>
    </row>
    <row r="1108" spans="2:7" x14ac:dyDescent="0.25">
      <c r="B1108" s="12"/>
      <c r="C1108" s="13"/>
      <c r="D1108" s="12"/>
      <c r="E1108" s="12"/>
      <c r="F1108" s="12"/>
      <c r="G1108" s="12"/>
    </row>
    <row r="1109" spans="2:7" x14ac:dyDescent="0.25">
      <c r="B1109" s="12"/>
      <c r="C1109" s="13"/>
      <c r="D1109" s="12"/>
      <c r="E1109" s="12"/>
      <c r="F1109" s="12"/>
      <c r="G1109" s="12"/>
    </row>
    <row r="1110" spans="2:7" x14ac:dyDescent="0.25">
      <c r="B1110" s="12"/>
      <c r="C1110" s="13"/>
      <c r="D1110" s="12"/>
      <c r="E1110" s="12"/>
      <c r="F1110" s="12"/>
      <c r="G1110" s="12"/>
    </row>
    <row r="1111" spans="2:7" x14ac:dyDescent="0.25">
      <c r="B1111" s="12"/>
      <c r="C1111" s="13"/>
      <c r="D1111" s="12"/>
      <c r="E1111" s="12"/>
      <c r="F1111" s="12"/>
      <c r="G1111" s="12"/>
    </row>
    <row r="1112" spans="2:7" x14ac:dyDescent="0.25">
      <c r="B1112" s="12"/>
      <c r="C1112" s="13"/>
      <c r="D1112" s="12"/>
      <c r="E1112" s="12"/>
      <c r="F1112" s="12"/>
      <c r="G1112" s="12"/>
    </row>
    <row r="1113" spans="2:7" x14ac:dyDescent="0.25">
      <c r="B1113" s="12"/>
      <c r="C1113" s="13"/>
      <c r="D1113" s="12"/>
      <c r="E1113" s="12"/>
      <c r="F1113" s="12"/>
      <c r="G1113" s="12"/>
    </row>
    <row r="1114" spans="2:7" x14ac:dyDescent="0.25">
      <c r="B1114" s="12"/>
      <c r="C1114" s="13"/>
      <c r="D1114" s="12"/>
      <c r="E1114" s="12"/>
      <c r="F1114" s="12"/>
      <c r="G1114" s="12"/>
    </row>
    <row r="1115" spans="2:7" x14ac:dyDescent="0.25">
      <c r="B1115" s="12"/>
      <c r="C1115" s="13"/>
      <c r="D1115" s="12"/>
      <c r="E1115" s="12"/>
      <c r="F1115" s="12"/>
      <c r="G1115" s="12"/>
    </row>
    <row r="1116" spans="2:7" x14ac:dyDescent="0.25">
      <c r="B1116" s="12"/>
      <c r="C1116" s="13"/>
      <c r="D1116" s="12"/>
      <c r="E1116" s="12"/>
      <c r="F1116" s="12"/>
      <c r="G1116" s="12"/>
    </row>
    <row r="1117" spans="2:7" x14ac:dyDescent="0.25">
      <c r="B1117" s="12"/>
      <c r="C1117" s="13"/>
      <c r="D1117" s="12"/>
      <c r="E1117" s="12"/>
      <c r="F1117" s="12"/>
      <c r="G1117" s="12"/>
    </row>
    <row r="1118" spans="2:7" x14ac:dyDescent="0.25">
      <c r="B1118" s="12"/>
      <c r="C1118" s="13"/>
      <c r="D1118" s="12"/>
      <c r="E1118" s="12"/>
      <c r="F1118" s="12"/>
      <c r="G1118" s="12"/>
    </row>
    <row r="1119" spans="2:7" x14ac:dyDescent="0.25">
      <c r="B1119" s="12"/>
      <c r="C1119" s="13"/>
      <c r="D1119" s="12"/>
      <c r="E1119" s="12"/>
      <c r="F1119" s="12"/>
      <c r="G1119" s="12"/>
    </row>
    <row r="1120" spans="2:7" x14ac:dyDescent="0.25">
      <c r="B1120" s="12"/>
      <c r="C1120" s="13"/>
      <c r="D1120" s="12"/>
      <c r="E1120" s="12"/>
      <c r="F1120" s="12"/>
      <c r="G1120" s="12"/>
    </row>
    <row r="1121" spans="2:7" x14ac:dyDescent="0.25">
      <c r="B1121" s="12"/>
      <c r="C1121" s="13"/>
      <c r="D1121" s="12"/>
      <c r="E1121" s="12"/>
      <c r="F1121" s="12"/>
      <c r="G1121" s="12"/>
    </row>
    <row r="1122" spans="2:7" x14ac:dyDescent="0.25">
      <c r="B1122" s="12"/>
      <c r="C1122" s="13"/>
      <c r="D1122" s="12"/>
      <c r="E1122" s="12"/>
      <c r="F1122" s="12"/>
      <c r="G1122" s="12"/>
    </row>
    <row r="1123" spans="2:7" x14ac:dyDescent="0.25">
      <c r="B1123" s="12"/>
      <c r="C1123" s="13"/>
      <c r="D1123" s="12"/>
      <c r="E1123" s="12"/>
      <c r="F1123" s="12"/>
      <c r="G1123" s="12"/>
    </row>
    <row r="1124" spans="2:7" x14ac:dyDescent="0.25">
      <c r="B1124" s="12"/>
      <c r="C1124" s="13"/>
      <c r="D1124" s="12"/>
      <c r="E1124" s="12"/>
      <c r="F1124" s="12"/>
      <c r="G1124" s="12"/>
    </row>
    <row r="1125" spans="2:7" x14ac:dyDescent="0.25">
      <c r="B1125" s="12"/>
      <c r="C1125" s="13"/>
      <c r="D1125" s="12"/>
      <c r="E1125" s="12"/>
      <c r="F1125" s="12"/>
      <c r="G1125" s="12"/>
    </row>
    <row r="1126" spans="2:7" x14ac:dyDescent="0.25">
      <c r="B1126" s="12"/>
      <c r="C1126" s="13"/>
      <c r="D1126" s="12"/>
      <c r="E1126" s="12"/>
      <c r="F1126" s="12"/>
      <c r="G1126" s="12"/>
    </row>
    <row r="1127" spans="2:7" x14ac:dyDescent="0.25">
      <c r="B1127" s="12"/>
      <c r="C1127" s="13"/>
      <c r="D1127" s="12"/>
      <c r="E1127" s="12"/>
      <c r="F1127" s="12"/>
      <c r="G1127" s="12"/>
    </row>
    <row r="1128" spans="2:7" x14ac:dyDescent="0.25">
      <c r="B1128" s="225" t="s">
        <v>0</v>
      </c>
      <c r="C1128" s="225"/>
      <c r="D1128" s="225"/>
      <c r="E1128" s="225"/>
      <c r="F1128" s="225"/>
      <c r="G1128" s="225"/>
    </row>
    <row r="1129" spans="2:7" x14ac:dyDescent="0.25">
      <c r="B1129" s="225" t="s">
        <v>1</v>
      </c>
      <c r="C1129" s="225"/>
      <c r="D1129" s="225"/>
      <c r="E1129" s="225"/>
      <c r="F1129" s="225"/>
      <c r="G1129" s="225"/>
    </row>
    <row r="1130" spans="2:7" x14ac:dyDescent="0.25">
      <c r="B1130" s="225" t="s">
        <v>2</v>
      </c>
      <c r="C1130" s="225"/>
      <c r="D1130" s="225"/>
      <c r="E1130" s="225"/>
      <c r="F1130" s="225"/>
      <c r="G1130" s="225"/>
    </row>
    <row r="1131" spans="2:7" x14ac:dyDescent="0.25">
      <c r="B1131" s="225" t="s">
        <v>41</v>
      </c>
      <c r="C1131" s="225"/>
      <c r="D1131" s="225"/>
      <c r="E1131" s="225"/>
      <c r="F1131" s="225"/>
      <c r="G1131" s="225"/>
    </row>
    <row r="1132" spans="2:7" x14ac:dyDescent="0.25">
      <c r="B1132" s="225" t="s">
        <v>124</v>
      </c>
      <c r="C1132" s="225"/>
      <c r="D1132" s="225"/>
      <c r="E1132" s="225"/>
      <c r="F1132" s="225"/>
      <c r="G1132" s="225"/>
    </row>
    <row r="1133" spans="2:7" x14ac:dyDescent="0.25">
      <c r="B1133" s="159"/>
      <c r="C1133" s="159"/>
      <c r="D1133" s="159"/>
      <c r="E1133" s="159"/>
      <c r="F1133" s="159"/>
      <c r="G1133" s="12"/>
    </row>
    <row r="1134" spans="2:7" ht="15.75" thickBot="1" x14ac:dyDescent="0.3">
      <c r="B1134" s="159"/>
      <c r="C1134" s="159"/>
      <c r="D1134" s="159"/>
      <c r="E1134" s="159"/>
      <c r="F1134" s="159"/>
      <c r="G1134" s="12"/>
    </row>
    <row r="1135" spans="2:7" ht="24.75" thickBot="1" x14ac:dyDescent="0.3">
      <c r="B1135" s="2" t="s">
        <v>4</v>
      </c>
      <c r="C1135" s="3" t="s">
        <v>5</v>
      </c>
      <c r="D1135" s="3" t="s">
        <v>6</v>
      </c>
      <c r="E1135" s="4" t="s">
        <v>7</v>
      </c>
      <c r="F1135" s="3" t="s">
        <v>65</v>
      </c>
      <c r="G1135" s="3" t="s">
        <v>8</v>
      </c>
    </row>
    <row r="1136" spans="2:7" x14ac:dyDescent="0.25">
      <c r="B1136" s="226" t="s">
        <v>25</v>
      </c>
      <c r="C1136" s="228">
        <v>98880.44</v>
      </c>
      <c r="D1136" s="245">
        <v>79067.070000000007</v>
      </c>
      <c r="E1136" s="229">
        <f>82326.73-D1136</f>
        <v>3259.6599999999889</v>
      </c>
      <c r="F1136" s="228">
        <f>D1136+E1136</f>
        <v>82326.73</v>
      </c>
      <c r="G1136" s="228">
        <f>C1136-D1136-E1136</f>
        <v>16553.710000000006</v>
      </c>
    </row>
    <row r="1137" spans="2:13" ht="15.75" thickBot="1" x14ac:dyDescent="0.3">
      <c r="B1137" s="227"/>
      <c r="C1137" s="215"/>
      <c r="D1137" s="234"/>
      <c r="E1137" s="230"/>
      <c r="F1137" s="215"/>
      <c r="G1137" s="215"/>
    </row>
    <row r="1138" spans="2:13" x14ac:dyDescent="0.25">
      <c r="B1138" s="231" t="s">
        <v>26</v>
      </c>
      <c r="C1138" s="215">
        <v>9583.74</v>
      </c>
      <c r="D1138" s="216">
        <v>3740.43</v>
      </c>
      <c r="E1138" s="236">
        <f>3740.43-D1138</f>
        <v>0</v>
      </c>
      <c r="F1138" s="216">
        <f>D1138+E1138</f>
        <v>3740.43</v>
      </c>
      <c r="G1138" s="228">
        <f>C1138-D1138-E1138</f>
        <v>5843.3099999999995</v>
      </c>
    </row>
    <row r="1139" spans="2:13" ht="15.75" thickBot="1" x14ac:dyDescent="0.3">
      <c r="B1139" s="231"/>
      <c r="C1139" s="215"/>
      <c r="D1139" s="234"/>
      <c r="E1139" s="263"/>
      <c r="F1139" s="217"/>
      <c r="G1139" s="215"/>
    </row>
    <row r="1140" spans="2:13" x14ac:dyDescent="0.25">
      <c r="B1140" s="231" t="s">
        <v>27</v>
      </c>
      <c r="C1140" s="215">
        <v>0</v>
      </c>
      <c r="D1140" s="216">
        <v>0</v>
      </c>
      <c r="E1140" s="236">
        <f>0-D1140</f>
        <v>0</v>
      </c>
      <c r="F1140" s="216">
        <f t="shared" ref="F1140" si="42">D1140+E1140</f>
        <v>0</v>
      </c>
      <c r="G1140" s="228">
        <f>C1140-D1140-E1140</f>
        <v>0</v>
      </c>
    </row>
    <row r="1141" spans="2:13" ht="15.75" thickBot="1" x14ac:dyDescent="0.3">
      <c r="B1141" s="231"/>
      <c r="C1141" s="215"/>
      <c r="D1141" s="234"/>
      <c r="E1141" s="263"/>
      <c r="F1141" s="217"/>
      <c r="G1141" s="215"/>
    </row>
    <row r="1142" spans="2:13" ht="30.75" thickBot="1" x14ac:dyDescent="0.3">
      <c r="B1142" s="231" t="s">
        <v>28</v>
      </c>
      <c r="C1142" s="215">
        <v>0</v>
      </c>
      <c r="D1142" s="216">
        <v>0</v>
      </c>
      <c r="E1142" s="236">
        <f>C1142-D1142</f>
        <v>0</v>
      </c>
      <c r="F1142" s="216">
        <f t="shared" ref="F1142" si="43">D1142+E1142</f>
        <v>0</v>
      </c>
      <c r="G1142" s="228">
        <f>C1142-D1142-E1142</f>
        <v>0</v>
      </c>
      <c r="H1142" s="155" t="s">
        <v>67</v>
      </c>
      <c r="I1142" s="154" t="s">
        <v>60</v>
      </c>
      <c r="J1142" s="120" t="s">
        <v>61</v>
      </c>
      <c r="K1142" s="126" t="s">
        <v>66</v>
      </c>
      <c r="L1142" s="104" t="s">
        <v>62</v>
      </c>
      <c r="M1142" s="96" t="s">
        <v>63</v>
      </c>
    </row>
    <row r="1143" spans="2:13" ht="15.75" thickBot="1" x14ac:dyDescent="0.3">
      <c r="B1143" s="232"/>
      <c r="C1143" s="216"/>
      <c r="D1143" s="244"/>
      <c r="E1143" s="264"/>
      <c r="F1143" s="217"/>
      <c r="G1143" s="239"/>
      <c r="H1143" s="36">
        <v>100</v>
      </c>
      <c r="I1143" s="37">
        <f>I1144*100/H1144</f>
        <v>76.345481061120822</v>
      </c>
      <c r="J1143" s="37">
        <f>J1144*100/H1144</f>
        <v>3.0052870910931042</v>
      </c>
      <c r="K1143" s="37">
        <f>K1144*100/H1144</f>
        <v>79.350768152213917</v>
      </c>
      <c r="L1143" s="102">
        <f>L1144*100/H1144</f>
        <v>20.649231847786076</v>
      </c>
      <c r="M1143" s="112">
        <f>M1144*100/H1144</f>
        <v>23.654518938879182</v>
      </c>
    </row>
    <row r="1144" spans="2:13" ht="15.75" thickBot="1" x14ac:dyDescent="0.3">
      <c r="B1144" s="14" t="s">
        <v>13</v>
      </c>
      <c r="C1144" s="21">
        <f>SUM(C1136:C1143)</f>
        <v>108464.18000000001</v>
      </c>
      <c r="D1144" s="21">
        <f>SUM(D1136:D1143)</f>
        <v>82807.5</v>
      </c>
      <c r="E1144" s="149">
        <f>SUM(E1136:E1143)</f>
        <v>3259.6599999999889</v>
      </c>
      <c r="F1144" s="16">
        <f>D1144+E1144</f>
        <v>86067.159999999989</v>
      </c>
      <c r="G1144" s="46">
        <f>C1144-D1144-E1144</f>
        <v>22397.020000000019</v>
      </c>
      <c r="H1144" s="44">
        <f>+C1144</f>
        <v>108464.18000000001</v>
      </c>
      <c r="I1144" s="45">
        <f>+D1144</f>
        <v>82807.5</v>
      </c>
      <c r="J1144" s="45">
        <f>+E1144</f>
        <v>3259.6599999999889</v>
      </c>
      <c r="K1144" s="45">
        <f>I1144+J1144</f>
        <v>86067.159999999989</v>
      </c>
      <c r="L1144" s="111">
        <f>H1144-K1144</f>
        <v>22397.020000000019</v>
      </c>
      <c r="M1144" s="97">
        <f>H1144-I1144</f>
        <v>25656.680000000008</v>
      </c>
    </row>
    <row r="1145" spans="2:13" x14ac:dyDescent="0.25">
      <c r="B1145" s="224" t="s">
        <v>29</v>
      </c>
      <c r="C1145" s="234">
        <v>102208.66</v>
      </c>
      <c r="D1145" s="245">
        <v>62283.21</v>
      </c>
      <c r="E1145" s="265">
        <f>64901.89-D1145</f>
        <v>2618.6800000000003</v>
      </c>
      <c r="F1145" s="235">
        <f>D1145+E1145</f>
        <v>64901.89</v>
      </c>
      <c r="G1145" s="218">
        <f>C1145-D1145-E1145</f>
        <v>37306.770000000004</v>
      </c>
    </row>
    <row r="1146" spans="2:13" ht="15.75" thickBot="1" x14ac:dyDescent="0.3">
      <c r="B1146" s="214"/>
      <c r="C1146" s="215"/>
      <c r="D1146" s="234"/>
      <c r="E1146" s="263"/>
      <c r="F1146" s="217"/>
      <c r="G1146" s="219"/>
    </row>
    <row r="1147" spans="2:13" x14ac:dyDescent="0.25">
      <c r="B1147" s="214" t="s">
        <v>30</v>
      </c>
      <c r="C1147" s="215">
        <v>343341.38</v>
      </c>
      <c r="D1147" s="216">
        <v>116632.07</v>
      </c>
      <c r="E1147" s="236">
        <f>306486.72-D1147</f>
        <v>189854.64999999997</v>
      </c>
      <c r="F1147" s="216">
        <f>D1147+E1147</f>
        <v>306486.71999999997</v>
      </c>
      <c r="G1147" s="218">
        <f>C1147-D1147-E1147</f>
        <v>36854.660000000033</v>
      </c>
    </row>
    <row r="1148" spans="2:13" ht="15.75" thickBot="1" x14ac:dyDescent="0.3">
      <c r="B1148" s="214"/>
      <c r="C1148" s="215"/>
      <c r="D1148" s="234"/>
      <c r="E1148" s="263"/>
      <c r="F1148" s="217"/>
      <c r="G1148" s="219"/>
    </row>
    <row r="1149" spans="2:13" x14ac:dyDescent="0.25">
      <c r="B1149" s="214" t="s">
        <v>31</v>
      </c>
      <c r="C1149" s="215">
        <v>30000</v>
      </c>
      <c r="D1149" s="216">
        <v>0</v>
      </c>
      <c r="E1149" s="236">
        <f>30000-D1149</f>
        <v>30000</v>
      </c>
      <c r="F1149" s="216">
        <f t="shared" ref="F1149" si="44">D1149+E1149</f>
        <v>30000</v>
      </c>
      <c r="G1149" s="218">
        <f>C1149-D1149-E1149</f>
        <v>0</v>
      </c>
    </row>
    <row r="1150" spans="2:13" ht="15.75" thickBot="1" x14ac:dyDescent="0.3">
      <c r="B1150" s="214"/>
      <c r="C1150" s="215"/>
      <c r="D1150" s="234"/>
      <c r="E1150" s="263"/>
      <c r="F1150" s="217"/>
      <c r="G1150" s="219"/>
    </row>
    <row r="1151" spans="2:13" x14ac:dyDescent="0.25">
      <c r="B1151" s="214" t="s">
        <v>32</v>
      </c>
      <c r="C1151" s="215">
        <v>63121.45</v>
      </c>
      <c r="D1151" s="216">
        <v>2921.52</v>
      </c>
      <c r="E1151" s="236">
        <f>62735.89-D1151</f>
        <v>59814.37</v>
      </c>
      <c r="F1151" s="216">
        <f t="shared" ref="F1151" si="45">D1151+E1151</f>
        <v>62735.89</v>
      </c>
      <c r="G1151" s="218">
        <f>C1151-D1151-E1151</f>
        <v>385.55999999999767</v>
      </c>
    </row>
    <row r="1152" spans="2:13" ht="15.75" thickBot="1" x14ac:dyDescent="0.3">
      <c r="B1152" s="214"/>
      <c r="C1152" s="215"/>
      <c r="D1152" s="234"/>
      <c r="E1152" s="263"/>
      <c r="F1152" s="217"/>
      <c r="G1152" s="219"/>
    </row>
    <row r="1153" spans="2:13" x14ac:dyDescent="0.25">
      <c r="B1153" s="214" t="s">
        <v>33</v>
      </c>
      <c r="C1153" s="215">
        <v>0</v>
      </c>
      <c r="D1153" s="216">
        <v>0</v>
      </c>
      <c r="E1153" s="236">
        <f>0-D1153</f>
        <v>0</v>
      </c>
      <c r="F1153" s="216">
        <f t="shared" ref="F1153" si="46">D1153+E1153</f>
        <v>0</v>
      </c>
      <c r="G1153" s="218">
        <f>C1153-D1153-E1153</f>
        <v>0</v>
      </c>
    </row>
    <row r="1154" spans="2:13" ht="15.75" thickBot="1" x14ac:dyDescent="0.3">
      <c r="B1154" s="214"/>
      <c r="C1154" s="215"/>
      <c r="D1154" s="234"/>
      <c r="E1154" s="263"/>
      <c r="F1154" s="217"/>
      <c r="G1154" s="219"/>
    </row>
    <row r="1155" spans="2:13" x14ac:dyDescent="0.25">
      <c r="B1155" s="214" t="s">
        <v>34</v>
      </c>
      <c r="C1155" s="215">
        <v>0</v>
      </c>
      <c r="D1155" s="216">
        <v>0</v>
      </c>
      <c r="E1155" s="236">
        <f>C1155-D1155</f>
        <v>0</v>
      </c>
      <c r="F1155" s="216">
        <f t="shared" ref="F1155" si="47">D1155+E1155</f>
        <v>0</v>
      </c>
      <c r="G1155" s="218">
        <f>C1155-D1155-E1155</f>
        <v>0</v>
      </c>
    </row>
    <row r="1156" spans="2:13" ht="15.75" thickBot="1" x14ac:dyDescent="0.3">
      <c r="B1156" s="214"/>
      <c r="C1156" s="215"/>
      <c r="D1156" s="234"/>
      <c r="E1156" s="263"/>
      <c r="F1156" s="217"/>
      <c r="G1156" s="219"/>
    </row>
    <row r="1157" spans="2:13" x14ac:dyDescent="0.25">
      <c r="B1157" s="214" t="s">
        <v>35</v>
      </c>
      <c r="C1157" s="215">
        <v>0</v>
      </c>
      <c r="D1157" s="216">
        <v>0</v>
      </c>
      <c r="E1157" s="236">
        <f>C1157-D1157</f>
        <v>0</v>
      </c>
      <c r="F1157" s="216">
        <f t="shared" ref="F1157" si="48">D1157+E1157</f>
        <v>0</v>
      </c>
      <c r="G1157" s="218">
        <f>C1157-D1157-E1157</f>
        <v>0</v>
      </c>
    </row>
    <row r="1158" spans="2:13" ht="15.75" thickBot="1" x14ac:dyDescent="0.3">
      <c r="B1158" s="214"/>
      <c r="C1158" s="215"/>
      <c r="D1158" s="234"/>
      <c r="E1158" s="263"/>
      <c r="F1158" s="217"/>
      <c r="G1158" s="219"/>
    </row>
    <row r="1159" spans="2:13" ht="30.75" thickBot="1" x14ac:dyDescent="0.3">
      <c r="B1159" s="214" t="s">
        <v>36</v>
      </c>
      <c r="C1159" s="215">
        <v>0</v>
      </c>
      <c r="D1159" s="216">
        <v>0</v>
      </c>
      <c r="E1159" s="236">
        <f>C1159-D1159</f>
        <v>0</v>
      </c>
      <c r="F1159" s="216">
        <f t="shared" ref="F1159" si="49">D1159+E1159</f>
        <v>0</v>
      </c>
      <c r="G1159" s="218">
        <f>C1159-D1159-E1159</f>
        <v>0</v>
      </c>
      <c r="H1159" s="155" t="s">
        <v>67</v>
      </c>
      <c r="I1159" s="154" t="s">
        <v>60</v>
      </c>
      <c r="J1159" s="120" t="s">
        <v>61</v>
      </c>
      <c r="K1159" s="126" t="s">
        <v>66</v>
      </c>
      <c r="L1159" s="133" t="s">
        <v>62</v>
      </c>
      <c r="M1159" s="137" t="s">
        <v>63</v>
      </c>
    </row>
    <row r="1160" spans="2:13" ht="15.75" thickBot="1" x14ac:dyDescent="0.3">
      <c r="B1160" s="220"/>
      <c r="C1160" s="221"/>
      <c r="D1160" s="244"/>
      <c r="E1160" s="263"/>
      <c r="F1160" s="217"/>
      <c r="G1160" s="219"/>
      <c r="H1160" s="62">
        <v>100</v>
      </c>
      <c r="I1160" s="63">
        <f>I1161*100/H1161</f>
        <v>33.756529420185203</v>
      </c>
      <c r="J1160" s="63">
        <f>J1161*100/H1161</f>
        <v>52.404425561857742</v>
      </c>
      <c r="K1160" s="64">
        <f>(D1161+E1161)*100/C1161</f>
        <v>86.160954982042938</v>
      </c>
      <c r="L1160" s="91">
        <f>G1161*100/C1161</f>
        <v>13.839045017957057</v>
      </c>
      <c r="M1160" s="112">
        <f>M1161*100/H1161</f>
        <v>66.243470579814797</v>
      </c>
    </row>
    <row r="1161" spans="2:13" ht="15.75" thickBot="1" x14ac:dyDescent="0.3">
      <c r="B1161" s="14" t="s">
        <v>22</v>
      </c>
      <c r="C1161" s="15">
        <f>SUM(C1145:C1160)</f>
        <v>538671.49</v>
      </c>
      <c r="D1161" s="15">
        <f>SUM(D1145:D1159)</f>
        <v>181836.79999999999</v>
      </c>
      <c r="E1161" s="46">
        <f>SUM(E1145:E1160)</f>
        <v>282287.69999999995</v>
      </c>
      <c r="F1161" s="16">
        <f>SUM(F1145:F1160)</f>
        <v>464124.5</v>
      </c>
      <c r="G1161" s="55">
        <f>C1161-D1161-E1161</f>
        <v>74546.990000000049</v>
      </c>
      <c r="H1161" s="60">
        <f>K1161+L1161</f>
        <v>538671.49</v>
      </c>
      <c r="I1161" s="65">
        <f>+D1161</f>
        <v>181836.79999999999</v>
      </c>
      <c r="J1161" s="65">
        <f>+E1161</f>
        <v>282287.69999999995</v>
      </c>
      <c r="K1161" s="61">
        <f>D1161+E1161</f>
        <v>464124.49999999994</v>
      </c>
      <c r="L1161" s="114">
        <f>+G1161</f>
        <v>74546.990000000049</v>
      </c>
      <c r="M1161" s="97">
        <f>H1161-I1161</f>
        <v>356834.69</v>
      </c>
    </row>
    <row r="1162" spans="2:13" ht="15.75" thickBot="1" x14ac:dyDescent="0.3">
      <c r="B1162" s="17" t="s">
        <v>23</v>
      </c>
      <c r="C1162" s="18">
        <f>C1144+C1161</f>
        <v>647135.67000000004</v>
      </c>
      <c r="D1162" s="19">
        <f>D1161+D1144</f>
        <v>264644.3</v>
      </c>
      <c r="E1162" s="28">
        <f>E1144+E1161</f>
        <v>285547.35999999993</v>
      </c>
      <c r="F1162" s="20">
        <f>F1144+F1161</f>
        <v>550191.66</v>
      </c>
      <c r="G1162" s="28">
        <f>C1162-D1162-E1162</f>
        <v>96944.010000000126</v>
      </c>
      <c r="H1162" s="48">
        <f>+C1162</f>
        <v>647135.67000000004</v>
      </c>
      <c r="I1162" s="49">
        <f>+D1162</f>
        <v>264644.3</v>
      </c>
      <c r="J1162" s="49">
        <f>+E1162</f>
        <v>285547.35999999993</v>
      </c>
      <c r="K1162" s="49">
        <f>I1162+J1162</f>
        <v>550191.65999999992</v>
      </c>
      <c r="L1162" s="116">
        <f>H1162-K1162</f>
        <v>96944.010000000126</v>
      </c>
      <c r="M1162" s="97">
        <f>H1162-I1162</f>
        <v>382491.37000000005</v>
      </c>
    </row>
    <row r="1163" spans="2:13" ht="15.75" thickBot="1" x14ac:dyDescent="0.3">
      <c r="B1163" s="12"/>
      <c r="C1163" s="13"/>
      <c r="D1163" s="12"/>
      <c r="E1163" s="12"/>
      <c r="F1163" s="12"/>
      <c r="G1163" s="12"/>
      <c r="H1163" s="129">
        <v>100</v>
      </c>
      <c r="I1163" s="130">
        <f>I1162*100/H1162</f>
        <v>40.894716868257312</v>
      </c>
      <c r="J1163" s="130">
        <f>J1162*100/H1162</f>
        <v>44.124806163134217</v>
      </c>
      <c r="K1163" s="130">
        <f>K1162*100/H1162</f>
        <v>85.019523031391529</v>
      </c>
      <c r="L1163" s="131">
        <f>L1162*100/H1162</f>
        <v>14.980476968608471</v>
      </c>
      <c r="M1163" s="132">
        <f>M1162*100/H1162</f>
        <v>59.105283131742695</v>
      </c>
    </row>
    <row r="1164" spans="2:13" x14ac:dyDescent="0.25">
      <c r="B1164" s="12"/>
      <c r="C1164" s="13"/>
      <c r="D1164" s="12"/>
      <c r="E1164" s="12"/>
      <c r="F1164" s="12"/>
      <c r="G1164" s="12"/>
    </row>
    <row r="1165" spans="2:13" x14ac:dyDescent="0.25">
      <c r="B1165" s="12"/>
      <c r="C1165" s="13"/>
      <c r="D1165" s="12"/>
      <c r="E1165" s="12"/>
      <c r="F1165" s="12"/>
      <c r="G1165" s="12"/>
    </row>
    <row r="1166" spans="2:13" x14ac:dyDescent="0.25">
      <c r="B1166" s="12"/>
      <c r="C1166" s="13"/>
      <c r="D1166" s="12"/>
      <c r="E1166" s="12"/>
      <c r="F1166" s="12"/>
      <c r="G1166" s="12"/>
    </row>
    <row r="1167" spans="2:13" x14ac:dyDescent="0.25">
      <c r="B1167" s="12"/>
      <c r="C1167" s="13"/>
      <c r="D1167" s="12"/>
      <c r="E1167" s="12"/>
      <c r="F1167" s="12"/>
      <c r="G1167" s="12"/>
    </row>
    <row r="1168" spans="2:13" x14ac:dyDescent="0.25">
      <c r="B1168" s="12"/>
      <c r="C1168" s="13"/>
      <c r="D1168" s="12"/>
      <c r="E1168" s="12"/>
      <c r="F1168" s="12"/>
      <c r="G1168" s="12"/>
    </row>
    <row r="1169" spans="2:7" x14ac:dyDescent="0.25">
      <c r="B1169" s="12"/>
      <c r="C1169" s="13"/>
      <c r="D1169" s="12"/>
      <c r="E1169" s="12"/>
      <c r="F1169" s="12"/>
      <c r="G1169" s="12"/>
    </row>
    <row r="1170" spans="2:7" x14ac:dyDescent="0.25">
      <c r="B1170" s="12"/>
      <c r="C1170" s="13"/>
      <c r="D1170" s="12"/>
      <c r="E1170" s="12"/>
      <c r="F1170" s="12"/>
      <c r="G1170" s="12"/>
    </row>
    <row r="1171" spans="2:7" x14ac:dyDescent="0.25">
      <c r="B1171" s="12"/>
      <c r="C1171" s="13"/>
      <c r="D1171" s="12"/>
      <c r="E1171" s="12"/>
      <c r="F1171" s="12"/>
      <c r="G1171" s="12"/>
    </row>
    <row r="1172" spans="2:7" x14ac:dyDescent="0.25">
      <c r="B1172" s="12"/>
      <c r="C1172" s="13"/>
      <c r="D1172" s="12"/>
      <c r="E1172" s="12"/>
      <c r="F1172" s="12"/>
      <c r="G1172" s="12"/>
    </row>
    <row r="1173" spans="2:7" x14ac:dyDescent="0.25">
      <c r="B1173" s="12"/>
      <c r="C1173" s="13"/>
      <c r="D1173" s="12"/>
      <c r="E1173" s="12"/>
      <c r="F1173" s="12"/>
      <c r="G1173" s="12"/>
    </row>
    <row r="1174" spans="2:7" x14ac:dyDescent="0.25">
      <c r="B1174" s="12"/>
      <c r="C1174" s="13"/>
      <c r="D1174" s="12"/>
      <c r="E1174" s="12"/>
      <c r="F1174" s="12"/>
      <c r="G1174" s="12"/>
    </row>
    <row r="1175" spans="2:7" x14ac:dyDescent="0.25">
      <c r="B1175" s="12"/>
      <c r="C1175" s="13"/>
      <c r="D1175" s="12"/>
      <c r="E1175" s="12"/>
      <c r="F1175" s="12"/>
      <c r="G1175" s="12"/>
    </row>
    <row r="1176" spans="2:7" x14ac:dyDescent="0.25">
      <c r="B1176" s="12"/>
      <c r="C1176" s="13"/>
      <c r="D1176" s="12"/>
      <c r="E1176" s="12"/>
      <c r="F1176" s="12"/>
      <c r="G1176" s="12"/>
    </row>
    <row r="1177" spans="2:7" x14ac:dyDescent="0.25">
      <c r="B1177" s="12"/>
      <c r="C1177" s="13"/>
      <c r="D1177" s="12"/>
      <c r="E1177" s="12"/>
      <c r="F1177" s="12"/>
      <c r="G1177" s="12"/>
    </row>
    <row r="1178" spans="2:7" x14ac:dyDescent="0.25">
      <c r="B1178" s="12"/>
      <c r="C1178" s="13"/>
      <c r="D1178" s="12"/>
      <c r="E1178" s="12"/>
      <c r="F1178" s="12"/>
      <c r="G1178" s="12"/>
    </row>
    <row r="1179" spans="2:7" x14ac:dyDescent="0.25">
      <c r="B1179" s="12"/>
      <c r="C1179" s="13"/>
      <c r="D1179" s="12"/>
      <c r="E1179" s="12"/>
      <c r="F1179" s="12"/>
      <c r="G1179" s="12"/>
    </row>
    <row r="1180" spans="2:7" x14ac:dyDescent="0.25">
      <c r="B1180" s="225" t="s">
        <v>0</v>
      </c>
      <c r="C1180" s="225"/>
      <c r="D1180" s="225"/>
      <c r="E1180" s="225"/>
      <c r="F1180" s="225"/>
      <c r="G1180" s="225"/>
    </row>
    <row r="1181" spans="2:7" x14ac:dyDescent="0.25">
      <c r="B1181" s="225" t="s">
        <v>1</v>
      </c>
      <c r="C1181" s="225"/>
      <c r="D1181" s="225"/>
      <c r="E1181" s="225"/>
      <c r="F1181" s="225"/>
      <c r="G1181" s="225"/>
    </row>
    <row r="1182" spans="2:7" x14ac:dyDescent="0.25">
      <c r="B1182" s="225" t="s">
        <v>2</v>
      </c>
      <c r="C1182" s="225"/>
      <c r="D1182" s="225"/>
      <c r="E1182" s="225"/>
      <c r="F1182" s="225"/>
      <c r="G1182" s="225"/>
    </row>
    <row r="1183" spans="2:7" x14ac:dyDescent="0.25">
      <c r="B1183" s="225" t="s">
        <v>41</v>
      </c>
      <c r="C1183" s="225"/>
      <c r="D1183" s="225"/>
      <c r="E1183" s="225"/>
      <c r="F1183" s="225"/>
      <c r="G1183" s="225"/>
    </row>
    <row r="1184" spans="2:7" x14ac:dyDescent="0.25">
      <c r="B1184" s="225" t="s">
        <v>124</v>
      </c>
      <c r="C1184" s="225"/>
      <c r="D1184" s="225"/>
      <c r="E1184" s="225"/>
      <c r="F1184" s="225"/>
      <c r="G1184" s="225"/>
    </row>
    <row r="1185" spans="2:11" ht="15.75" thickBot="1" x14ac:dyDescent="0.3">
      <c r="B1185" s="202"/>
      <c r="C1185" s="202"/>
      <c r="D1185" s="202"/>
      <c r="E1185" s="202"/>
      <c r="F1185" s="202"/>
      <c r="G1185" s="202"/>
    </row>
    <row r="1186" spans="2:11" ht="36.75" thickBot="1" x14ac:dyDescent="0.3">
      <c r="B1186" s="192"/>
      <c r="C1186" s="184" t="s">
        <v>5</v>
      </c>
      <c r="D1186" s="173" t="s">
        <v>72</v>
      </c>
      <c r="E1186" s="172" t="s">
        <v>6</v>
      </c>
      <c r="F1186" s="161" t="s">
        <v>60</v>
      </c>
      <c r="G1186" s="172" t="s">
        <v>7</v>
      </c>
      <c r="H1186" s="179" t="s">
        <v>98</v>
      </c>
      <c r="I1186" s="172" t="s">
        <v>65</v>
      </c>
      <c r="J1186" s="203" t="s">
        <v>99</v>
      </c>
      <c r="K1186" s="3" t="s">
        <v>8</v>
      </c>
    </row>
    <row r="1187" spans="2:11" ht="15.75" thickBot="1" x14ac:dyDescent="0.3">
      <c r="B1187" s="183" t="s">
        <v>117</v>
      </c>
      <c r="C1187" s="182">
        <v>647135.67000000004</v>
      </c>
      <c r="D1187" s="174">
        <v>1</v>
      </c>
      <c r="E1187" s="170">
        <v>264644.3</v>
      </c>
      <c r="F1187" s="175">
        <f>E1187/C1187</f>
        <v>0.40894716868257314</v>
      </c>
      <c r="G1187" s="170">
        <v>285547.36</v>
      </c>
      <c r="H1187" s="175">
        <f>G1187/C1187</f>
        <v>0.44124806163134228</v>
      </c>
      <c r="I1187" s="170">
        <f>E1187+G1187</f>
        <v>550191.65999999992</v>
      </c>
      <c r="J1187" s="204">
        <f>I1187/C1187</f>
        <v>0.85019523031391531</v>
      </c>
      <c r="K1187" s="158">
        <f>C1187-I1187</f>
        <v>96944.010000000126</v>
      </c>
    </row>
    <row r="1188" spans="2:11" x14ac:dyDescent="0.25">
      <c r="B1188" s="12"/>
      <c r="C1188" s="13"/>
      <c r="D1188" s="12"/>
      <c r="E1188" s="12"/>
      <c r="F1188" s="12"/>
      <c r="G1188" s="12"/>
    </row>
    <row r="1189" spans="2:11" x14ac:dyDescent="0.25">
      <c r="B1189" s="12"/>
      <c r="C1189" s="13"/>
      <c r="D1189" s="12"/>
      <c r="E1189" s="12"/>
      <c r="F1189" s="12"/>
      <c r="G1189" s="12"/>
    </row>
    <row r="1190" spans="2:11" x14ac:dyDescent="0.25">
      <c r="B1190" s="12"/>
      <c r="C1190" s="13"/>
      <c r="D1190" s="12"/>
      <c r="E1190" s="12"/>
      <c r="F1190" s="12"/>
      <c r="G1190" s="12"/>
    </row>
    <row r="1191" spans="2:11" x14ac:dyDescent="0.25">
      <c r="B1191" s="12"/>
      <c r="C1191" s="13"/>
      <c r="D1191" s="12"/>
      <c r="E1191" s="12"/>
      <c r="F1191" s="12"/>
      <c r="G1191" s="12"/>
    </row>
    <row r="1192" spans="2:11" x14ac:dyDescent="0.25">
      <c r="B1192" s="12"/>
      <c r="C1192" s="13"/>
      <c r="D1192" s="12"/>
      <c r="E1192" s="12"/>
      <c r="F1192" s="12"/>
      <c r="G1192" s="12"/>
    </row>
    <row r="1193" spans="2:11" x14ac:dyDescent="0.25">
      <c r="B1193" s="12"/>
      <c r="C1193" s="13"/>
      <c r="D1193" s="12"/>
      <c r="E1193" s="12"/>
      <c r="F1193" s="12"/>
      <c r="G1193" s="12"/>
    </row>
    <row r="1194" spans="2:11" x14ac:dyDescent="0.25">
      <c r="B1194" s="12"/>
      <c r="C1194" s="13"/>
      <c r="D1194" s="12"/>
      <c r="E1194" s="12"/>
      <c r="F1194" s="12"/>
      <c r="G1194" s="12"/>
    </row>
    <row r="1195" spans="2:11" x14ac:dyDescent="0.25">
      <c r="B1195" s="12"/>
      <c r="C1195" s="13"/>
      <c r="D1195" s="12"/>
      <c r="E1195" s="12"/>
      <c r="F1195" s="12"/>
      <c r="G1195" s="12"/>
    </row>
    <row r="1196" spans="2:11" x14ac:dyDescent="0.25">
      <c r="B1196" s="12"/>
      <c r="C1196" s="13"/>
      <c r="D1196" s="12"/>
      <c r="E1196" s="12"/>
      <c r="F1196" s="12"/>
      <c r="G1196" s="12"/>
    </row>
    <row r="1197" spans="2:11" x14ac:dyDescent="0.25">
      <c r="B1197" s="12"/>
      <c r="C1197" s="13"/>
      <c r="D1197" s="12"/>
      <c r="E1197" s="12"/>
      <c r="F1197" s="12"/>
      <c r="G1197" s="12"/>
    </row>
    <row r="1198" spans="2:11" x14ac:dyDescent="0.25">
      <c r="B1198" s="12"/>
      <c r="C1198" s="13"/>
      <c r="D1198" s="12"/>
      <c r="E1198" s="12"/>
      <c r="F1198" s="12"/>
      <c r="G1198" s="12"/>
    </row>
    <row r="1199" spans="2:11" x14ac:dyDescent="0.25">
      <c r="B1199" s="12"/>
      <c r="C1199" s="13"/>
      <c r="D1199" s="12"/>
      <c r="E1199" s="12"/>
      <c r="F1199" s="12"/>
      <c r="G1199" s="12"/>
    </row>
    <row r="1200" spans="2:11" x14ac:dyDescent="0.25">
      <c r="B1200" s="12"/>
      <c r="C1200" s="13"/>
      <c r="D1200" s="12"/>
      <c r="E1200" s="12"/>
      <c r="F1200" s="12"/>
      <c r="G1200" s="12"/>
    </row>
    <row r="1201" spans="2:7" x14ac:dyDescent="0.25">
      <c r="B1201" s="12"/>
      <c r="C1201" s="13"/>
      <c r="D1201" s="12"/>
      <c r="E1201" s="12"/>
      <c r="F1201" s="12"/>
      <c r="G1201" s="12"/>
    </row>
    <row r="1202" spans="2:7" x14ac:dyDescent="0.25">
      <c r="B1202" s="12"/>
      <c r="C1202" s="13"/>
      <c r="D1202" s="12"/>
      <c r="E1202" s="12"/>
      <c r="F1202" s="12"/>
      <c r="G1202" s="12"/>
    </row>
    <row r="1203" spans="2:7" x14ac:dyDescent="0.25">
      <c r="B1203" s="12"/>
      <c r="C1203" s="13"/>
      <c r="D1203" s="12"/>
      <c r="E1203" s="12"/>
      <c r="F1203" s="12"/>
      <c r="G1203" s="12"/>
    </row>
    <row r="1204" spans="2:7" x14ac:dyDescent="0.25">
      <c r="B1204" s="12"/>
      <c r="C1204" s="13"/>
      <c r="D1204" s="12"/>
      <c r="E1204" s="12"/>
      <c r="F1204" s="12"/>
      <c r="G1204" s="12"/>
    </row>
    <row r="1205" spans="2:7" x14ac:dyDescent="0.25">
      <c r="B1205" s="12"/>
      <c r="C1205" s="13"/>
      <c r="D1205" s="12"/>
      <c r="E1205" s="12"/>
      <c r="F1205" s="12"/>
      <c r="G1205" s="12"/>
    </row>
    <row r="1206" spans="2:7" x14ac:dyDescent="0.25">
      <c r="B1206" s="12"/>
      <c r="C1206" s="13"/>
      <c r="D1206" s="12"/>
      <c r="E1206" s="12"/>
      <c r="F1206" s="12"/>
      <c r="G1206" s="12"/>
    </row>
    <row r="1207" spans="2:7" x14ac:dyDescent="0.25">
      <c r="B1207" s="12"/>
      <c r="C1207" s="13"/>
      <c r="D1207" s="12"/>
      <c r="E1207" s="12"/>
      <c r="F1207" s="12"/>
      <c r="G1207" s="12"/>
    </row>
    <row r="1208" spans="2:7" x14ac:dyDescent="0.25">
      <c r="B1208" s="12"/>
      <c r="C1208" s="13"/>
      <c r="D1208" s="12"/>
      <c r="E1208" s="12"/>
      <c r="F1208" s="12"/>
      <c r="G1208" s="12"/>
    </row>
    <row r="1209" spans="2:7" x14ac:dyDescent="0.25">
      <c r="B1209" s="12"/>
      <c r="C1209" s="13"/>
      <c r="D1209" s="12"/>
      <c r="E1209" s="12"/>
      <c r="F1209" s="12"/>
      <c r="G1209" s="12"/>
    </row>
    <row r="1210" spans="2:7" x14ac:dyDescent="0.25">
      <c r="B1210" s="12"/>
      <c r="C1210" s="13"/>
      <c r="D1210" s="12"/>
      <c r="E1210" s="12"/>
      <c r="F1210" s="12"/>
      <c r="G1210" s="12"/>
    </row>
    <row r="1211" spans="2:7" x14ac:dyDescent="0.25">
      <c r="B1211" s="12"/>
      <c r="C1211" s="13"/>
      <c r="D1211" s="12"/>
      <c r="E1211" s="12"/>
      <c r="F1211" s="12"/>
      <c r="G1211" s="12"/>
    </row>
    <row r="1212" spans="2:7" x14ac:dyDescent="0.25">
      <c r="B1212" s="12"/>
      <c r="C1212" s="13"/>
      <c r="D1212" s="12"/>
      <c r="E1212" s="12"/>
      <c r="F1212" s="12"/>
      <c r="G1212" s="12"/>
    </row>
    <row r="1213" spans="2:7" x14ac:dyDescent="0.25">
      <c r="B1213" s="12"/>
      <c r="C1213" s="13"/>
      <c r="D1213" s="12"/>
      <c r="E1213" s="12"/>
      <c r="F1213" s="12"/>
      <c r="G1213" s="12"/>
    </row>
    <row r="1214" spans="2:7" x14ac:dyDescent="0.25">
      <c r="B1214" s="12"/>
      <c r="C1214" s="13"/>
      <c r="D1214" s="12"/>
      <c r="E1214" s="12"/>
      <c r="F1214" s="12"/>
      <c r="G1214" s="12"/>
    </row>
    <row r="1215" spans="2:7" x14ac:dyDescent="0.25">
      <c r="B1215" s="12"/>
      <c r="C1215" s="13"/>
      <c r="D1215" s="12"/>
      <c r="E1215" s="12"/>
      <c r="F1215" s="12"/>
      <c r="G1215" s="12"/>
    </row>
    <row r="1216" spans="2:7" x14ac:dyDescent="0.25">
      <c r="B1216" s="12"/>
      <c r="C1216" s="13"/>
      <c r="D1216" s="12"/>
      <c r="E1216" s="12"/>
      <c r="F1216" s="12"/>
      <c r="G1216" s="12"/>
    </row>
    <row r="1217" spans="2:7" x14ac:dyDescent="0.25">
      <c r="B1217" s="12"/>
      <c r="C1217" s="13"/>
      <c r="D1217" s="12"/>
      <c r="E1217" s="12"/>
      <c r="F1217" s="12"/>
      <c r="G1217" s="12"/>
    </row>
    <row r="1218" spans="2:7" x14ac:dyDescent="0.25">
      <c r="B1218" s="12"/>
      <c r="C1218" s="13"/>
      <c r="D1218" s="12"/>
      <c r="E1218" s="12"/>
      <c r="F1218" s="12"/>
      <c r="G1218" s="12"/>
    </row>
    <row r="1219" spans="2:7" x14ac:dyDescent="0.25">
      <c r="B1219" s="12"/>
      <c r="C1219" s="13"/>
      <c r="D1219" s="12"/>
      <c r="E1219" s="12"/>
      <c r="F1219" s="12"/>
      <c r="G1219" s="12"/>
    </row>
    <row r="1220" spans="2:7" x14ac:dyDescent="0.25">
      <c r="B1220" s="12"/>
      <c r="C1220" s="13"/>
      <c r="D1220" s="12"/>
      <c r="E1220" s="12"/>
      <c r="F1220" s="12"/>
      <c r="G1220" s="12"/>
    </row>
    <row r="1221" spans="2:7" x14ac:dyDescent="0.25">
      <c r="B1221" s="12"/>
      <c r="C1221" s="13"/>
      <c r="D1221" s="12"/>
      <c r="E1221" s="12"/>
      <c r="F1221" s="12"/>
      <c r="G1221" s="12"/>
    </row>
    <row r="1222" spans="2:7" x14ac:dyDescent="0.25">
      <c r="B1222" s="12"/>
      <c r="C1222" s="13"/>
      <c r="D1222" s="12"/>
      <c r="E1222" s="12"/>
      <c r="F1222" s="12"/>
      <c r="G1222" s="12"/>
    </row>
    <row r="1223" spans="2:7" x14ac:dyDescent="0.25">
      <c r="B1223" s="12"/>
      <c r="C1223" s="13"/>
      <c r="D1223" s="12"/>
      <c r="E1223" s="12"/>
      <c r="F1223" s="12"/>
      <c r="G1223" s="12"/>
    </row>
    <row r="1224" spans="2:7" x14ac:dyDescent="0.25">
      <c r="B1224" s="12"/>
      <c r="C1224" s="13"/>
      <c r="D1224" s="12"/>
      <c r="E1224" s="12"/>
      <c r="F1224" s="12"/>
      <c r="G1224" s="12"/>
    </row>
    <row r="1225" spans="2:7" x14ac:dyDescent="0.25">
      <c r="B1225" s="12"/>
      <c r="C1225" s="13"/>
      <c r="D1225" s="12"/>
      <c r="E1225" s="12"/>
      <c r="F1225" s="12"/>
      <c r="G1225" s="12"/>
    </row>
    <row r="1226" spans="2:7" x14ac:dyDescent="0.25">
      <c r="B1226" s="12"/>
      <c r="C1226" s="13"/>
      <c r="D1226" s="12"/>
      <c r="E1226" s="12"/>
      <c r="F1226" s="12"/>
      <c r="G1226" s="12"/>
    </row>
    <row r="1227" spans="2:7" x14ac:dyDescent="0.25">
      <c r="B1227" s="12"/>
      <c r="C1227" s="13"/>
      <c r="D1227" s="12"/>
      <c r="E1227" s="12"/>
      <c r="F1227" s="12"/>
      <c r="G1227" s="12"/>
    </row>
    <row r="1228" spans="2:7" x14ac:dyDescent="0.25">
      <c r="B1228" s="12"/>
      <c r="C1228" s="13"/>
      <c r="D1228" s="12"/>
      <c r="E1228" s="12"/>
      <c r="F1228" s="12"/>
      <c r="G1228" s="12"/>
    </row>
    <row r="1229" spans="2:7" x14ac:dyDescent="0.25">
      <c r="B1229" s="12"/>
      <c r="C1229" s="13"/>
      <c r="D1229" s="12"/>
      <c r="E1229" s="12"/>
      <c r="F1229" s="12"/>
      <c r="G1229" s="12"/>
    </row>
    <row r="1230" spans="2:7" x14ac:dyDescent="0.25">
      <c r="B1230" s="12"/>
      <c r="C1230" s="13"/>
      <c r="D1230" s="12"/>
      <c r="E1230" s="12"/>
      <c r="F1230" s="12"/>
      <c r="G1230" s="12"/>
    </row>
    <row r="1231" spans="2:7" x14ac:dyDescent="0.25">
      <c r="B1231" s="12"/>
      <c r="C1231" s="13"/>
      <c r="D1231" s="12"/>
      <c r="E1231" s="12"/>
      <c r="F1231" s="12"/>
      <c r="G1231" s="12"/>
    </row>
    <row r="1232" spans="2:7" x14ac:dyDescent="0.25">
      <c r="B1232" s="12"/>
      <c r="C1232" s="13"/>
      <c r="D1232" s="12"/>
      <c r="E1232" s="12"/>
      <c r="F1232" s="12"/>
      <c r="G1232" s="12"/>
    </row>
    <row r="1233" spans="2:13" x14ac:dyDescent="0.25">
      <c r="B1233" s="12"/>
      <c r="C1233" s="13"/>
      <c r="D1233" s="12"/>
      <c r="E1233" s="12"/>
      <c r="F1233" s="12"/>
      <c r="G1233" s="12"/>
    </row>
    <row r="1234" spans="2:13" x14ac:dyDescent="0.25">
      <c r="B1234" s="225" t="s">
        <v>0</v>
      </c>
      <c r="C1234" s="225"/>
      <c r="D1234" s="225"/>
      <c r="E1234" s="225"/>
      <c r="F1234" s="225"/>
      <c r="G1234" s="225"/>
    </row>
    <row r="1235" spans="2:13" x14ac:dyDescent="0.25">
      <c r="B1235" s="225" t="s">
        <v>1</v>
      </c>
      <c r="C1235" s="225"/>
      <c r="D1235" s="225"/>
      <c r="E1235" s="225"/>
      <c r="F1235" s="225"/>
      <c r="G1235" s="225"/>
    </row>
    <row r="1236" spans="2:13" x14ac:dyDescent="0.25">
      <c r="B1236" s="225" t="s">
        <v>2</v>
      </c>
      <c r="C1236" s="225"/>
      <c r="D1236" s="225"/>
      <c r="E1236" s="225"/>
      <c r="F1236" s="225"/>
      <c r="G1236" s="225"/>
    </row>
    <row r="1237" spans="2:13" x14ac:dyDescent="0.25">
      <c r="B1237" s="225" t="s">
        <v>42</v>
      </c>
      <c r="C1237" s="225"/>
      <c r="D1237" s="225"/>
      <c r="E1237" s="225"/>
      <c r="F1237" s="225"/>
      <c r="G1237" s="225"/>
    </row>
    <row r="1238" spans="2:13" x14ac:dyDescent="0.25">
      <c r="B1238" s="225" t="s">
        <v>124</v>
      </c>
      <c r="C1238" s="225"/>
      <c r="D1238" s="225"/>
      <c r="E1238" s="225"/>
      <c r="F1238" s="225"/>
      <c r="G1238" s="225"/>
    </row>
    <row r="1239" spans="2:13" x14ac:dyDescent="0.25">
      <c r="B1239" s="159"/>
      <c r="C1239" s="159"/>
      <c r="D1239" s="159"/>
      <c r="E1239" s="159"/>
      <c r="F1239" s="159"/>
      <c r="G1239" s="12"/>
    </row>
    <row r="1240" spans="2:13" ht="15.75" thickBot="1" x14ac:dyDescent="0.3">
      <c r="B1240" s="159"/>
      <c r="C1240" s="159"/>
      <c r="D1240" s="159"/>
      <c r="E1240" s="159"/>
      <c r="F1240" s="159"/>
      <c r="G1240" s="12"/>
    </row>
    <row r="1241" spans="2:13" ht="24.75" thickBot="1" x14ac:dyDescent="0.3">
      <c r="B1241" s="2" t="s">
        <v>4</v>
      </c>
      <c r="C1241" s="3" t="s">
        <v>5</v>
      </c>
      <c r="D1241" s="3" t="s">
        <v>6</v>
      </c>
      <c r="E1241" s="4" t="s">
        <v>7</v>
      </c>
      <c r="F1241" s="3" t="s">
        <v>65</v>
      </c>
      <c r="G1241" s="3" t="s">
        <v>8</v>
      </c>
    </row>
    <row r="1242" spans="2:13" x14ac:dyDescent="0.25">
      <c r="B1242" s="226" t="s">
        <v>25</v>
      </c>
      <c r="C1242" s="228">
        <v>651689.88</v>
      </c>
      <c r="D1242" s="245">
        <v>518810.25</v>
      </c>
      <c r="E1242" s="229">
        <f>539363.11-D1242</f>
        <v>20552.859999999986</v>
      </c>
      <c r="F1242" s="229">
        <f>D1242+E1242</f>
        <v>539363.11</v>
      </c>
      <c r="G1242" s="228">
        <f>C1242-D1242-E1242</f>
        <v>112326.77000000002</v>
      </c>
    </row>
    <row r="1243" spans="2:13" ht="15.75" thickBot="1" x14ac:dyDescent="0.3">
      <c r="B1243" s="227"/>
      <c r="C1243" s="215"/>
      <c r="D1243" s="234"/>
      <c r="E1243" s="230"/>
      <c r="F1243" s="230"/>
      <c r="G1243" s="215"/>
    </row>
    <row r="1244" spans="2:13" x14ac:dyDescent="0.25">
      <c r="B1244" s="231" t="s">
        <v>26</v>
      </c>
      <c r="C1244" s="215">
        <v>25180</v>
      </c>
      <c r="D1244" s="216">
        <v>5265.72</v>
      </c>
      <c r="E1244" s="212">
        <f>16049.86-D1244</f>
        <v>10784.14</v>
      </c>
      <c r="F1244" s="212">
        <f>+D1244+E1244</f>
        <v>16049.86</v>
      </c>
      <c r="G1244" s="228">
        <f>C1244-D1244-E1244</f>
        <v>9130.14</v>
      </c>
    </row>
    <row r="1245" spans="2:13" ht="15.75" thickBot="1" x14ac:dyDescent="0.3">
      <c r="B1245" s="231"/>
      <c r="C1245" s="215"/>
      <c r="D1245" s="234"/>
      <c r="E1245" s="213"/>
      <c r="F1245" s="213"/>
      <c r="G1245" s="215"/>
    </row>
    <row r="1246" spans="2:13" x14ac:dyDescent="0.25">
      <c r="B1246" s="231" t="s">
        <v>27</v>
      </c>
      <c r="C1246" s="215">
        <v>0</v>
      </c>
      <c r="D1246" s="216">
        <v>0</v>
      </c>
      <c r="E1246" s="212">
        <f>0-D1246</f>
        <v>0</v>
      </c>
      <c r="F1246" s="212">
        <f t="shared" ref="F1246" si="50">+D1246+E1246</f>
        <v>0</v>
      </c>
      <c r="G1246" s="228">
        <f>C1246-D1246-E1246</f>
        <v>0</v>
      </c>
    </row>
    <row r="1247" spans="2:13" ht="15.75" thickBot="1" x14ac:dyDescent="0.3">
      <c r="B1247" s="231"/>
      <c r="C1247" s="215"/>
      <c r="D1247" s="234"/>
      <c r="E1247" s="213"/>
      <c r="F1247" s="213"/>
      <c r="G1247" s="215"/>
    </row>
    <row r="1248" spans="2:13" ht="30.75" thickBot="1" x14ac:dyDescent="0.3">
      <c r="B1248" s="231" t="s">
        <v>28</v>
      </c>
      <c r="C1248" s="215">
        <v>0</v>
      </c>
      <c r="D1248" s="216">
        <v>0</v>
      </c>
      <c r="E1248" s="212">
        <f>C1248-D1248</f>
        <v>0</v>
      </c>
      <c r="F1248" s="212">
        <f t="shared" ref="F1248" si="51">+D1248+E1248</f>
        <v>0</v>
      </c>
      <c r="G1248" s="228">
        <f>C1248-D1248-E1248</f>
        <v>0</v>
      </c>
      <c r="H1248" s="155" t="s">
        <v>67</v>
      </c>
      <c r="I1248" s="154" t="s">
        <v>60</v>
      </c>
      <c r="J1248" s="120" t="s">
        <v>61</v>
      </c>
      <c r="K1248" s="126" t="s">
        <v>66</v>
      </c>
      <c r="L1248" s="133" t="s">
        <v>62</v>
      </c>
      <c r="M1248" s="137" t="s">
        <v>63</v>
      </c>
    </row>
    <row r="1249" spans="2:13" ht="15.75" thickBot="1" x14ac:dyDescent="0.3">
      <c r="B1249" s="232"/>
      <c r="C1249" s="216"/>
      <c r="D1249" s="244"/>
      <c r="E1249" s="233"/>
      <c r="F1249" s="213"/>
      <c r="G1249" s="239"/>
      <c r="H1249" s="58">
        <v>100</v>
      </c>
      <c r="I1249" s="59">
        <f>I1250*100/H1250</f>
        <v>77.426398409100429</v>
      </c>
      <c r="J1249" s="59">
        <f>J1250*100/H1250</f>
        <v>4.6296933762217316</v>
      </c>
      <c r="K1249" s="59">
        <f>K1250*100/H1250</f>
        <v>82.056091785322167</v>
      </c>
      <c r="L1249" s="98">
        <f>L1250*100/H1250</f>
        <v>17.94390821467784</v>
      </c>
      <c r="M1249" s="97">
        <f>M1250*100/H1250</f>
        <v>22.573601590899575</v>
      </c>
    </row>
    <row r="1250" spans="2:13" ht="15.75" thickBot="1" x14ac:dyDescent="0.3">
      <c r="B1250" s="14" t="s">
        <v>13</v>
      </c>
      <c r="C1250" s="21">
        <f>SUM(C1242:C1249)</f>
        <v>676869.88</v>
      </c>
      <c r="D1250" s="21">
        <f>SUM(D1242:D1249)</f>
        <v>524075.97</v>
      </c>
      <c r="E1250" s="22">
        <f>SUM(E1242:E1249)</f>
        <v>31336.999999999985</v>
      </c>
      <c r="F1250" s="22">
        <f>SUM(F1242:F1249)</f>
        <v>555412.97</v>
      </c>
      <c r="G1250" s="46">
        <f>C1250-D1250-E1250</f>
        <v>121456.91000000005</v>
      </c>
      <c r="H1250" s="60">
        <f>+C1250</f>
        <v>676869.88</v>
      </c>
      <c r="I1250" s="61">
        <f>+D1250</f>
        <v>524075.97</v>
      </c>
      <c r="J1250" s="61">
        <f>+E1250</f>
        <v>31336.999999999985</v>
      </c>
      <c r="K1250" s="61">
        <f>I1250+J1250</f>
        <v>555412.97</v>
      </c>
      <c r="L1250" s="114">
        <f>H1250-K1250</f>
        <v>121456.91000000003</v>
      </c>
      <c r="M1250" s="132">
        <f>H1250-I1250</f>
        <v>152793.91000000003</v>
      </c>
    </row>
    <row r="1251" spans="2:13" x14ac:dyDescent="0.25">
      <c r="B1251" s="224" t="s">
        <v>29</v>
      </c>
      <c r="C1251" s="234">
        <v>459209.84</v>
      </c>
      <c r="D1251" s="245">
        <v>166354.91</v>
      </c>
      <c r="E1251" s="223">
        <f>401521.34-D1251</f>
        <v>235166.43000000002</v>
      </c>
      <c r="F1251" s="212">
        <f t="shared" ref="F1251" si="52">+D1251+E1251</f>
        <v>401521.34</v>
      </c>
      <c r="G1251" s="218">
        <f>C1251-D1251-E1251</f>
        <v>57688.500000000029</v>
      </c>
    </row>
    <row r="1252" spans="2:13" ht="15.75" thickBot="1" x14ac:dyDescent="0.3">
      <c r="B1252" s="214"/>
      <c r="C1252" s="215"/>
      <c r="D1252" s="234"/>
      <c r="E1252" s="213"/>
      <c r="F1252" s="213"/>
      <c r="G1252" s="219"/>
    </row>
    <row r="1253" spans="2:13" x14ac:dyDescent="0.25">
      <c r="B1253" s="214" t="s">
        <v>30</v>
      </c>
      <c r="C1253" s="215">
        <v>165755.23000000001</v>
      </c>
      <c r="D1253" s="216">
        <v>81239.11</v>
      </c>
      <c r="E1253" s="212">
        <f>123285.15-D1253</f>
        <v>42046.039999999994</v>
      </c>
      <c r="F1253" s="212">
        <f t="shared" ref="F1253" si="53">+D1253+E1253</f>
        <v>123285.15</v>
      </c>
      <c r="G1253" s="218">
        <f>C1253-D1253-E1253</f>
        <v>42470.080000000016</v>
      </c>
    </row>
    <row r="1254" spans="2:13" ht="15.75" thickBot="1" x14ac:dyDescent="0.3">
      <c r="B1254" s="214"/>
      <c r="C1254" s="215"/>
      <c r="D1254" s="234"/>
      <c r="E1254" s="213"/>
      <c r="F1254" s="213"/>
      <c r="G1254" s="219"/>
    </row>
    <row r="1255" spans="2:13" x14ac:dyDescent="0.25">
      <c r="B1255" s="214" t="s">
        <v>31</v>
      </c>
      <c r="C1255" s="215">
        <v>1000</v>
      </c>
      <c r="D1255" s="216">
        <v>0</v>
      </c>
      <c r="E1255" s="212">
        <f>0-D1255</f>
        <v>0</v>
      </c>
      <c r="F1255" s="212">
        <f t="shared" ref="F1255" si="54">+D1255+E1255</f>
        <v>0</v>
      </c>
      <c r="G1255" s="218">
        <f>C1255-D1255-E1255</f>
        <v>1000</v>
      </c>
    </row>
    <row r="1256" spans="2:13" ht="15.75" thickBot="1" x14ac:dyDescent="0.3">
      <c r="B1256" s="214"/>
      <c r="C1256" s="215"/>
      <c r="D1256" s="234"/>
      <c r="E1256" s="213"/>
      <c r="F1256" s="213"/>
      <c r="G1256" s="219"/>
    </row>
    <row r="1257" spans="2:13" x14ac:dyDescent="0.25">
      <c r="B1257" s="214" t="s">
        <v>32</v>
      </c>
      <c r="C1257" s="215">
        <v>117256.53</v>
      </c>
      <c r="D1257" s="216">
        <v>32904.6</v>
      </c>
      <c r="E1257" s="212">
        <f>90087.7-D1257</f>
        <v>57183.1</v>
      </c>
      <c r="F1257" s="212">
        <f t="shared" ref="F1257" si="55">+D1257+E1257</f>
        <v>90087.7</v>
      </c>
      <c r="G1257" s="218">
        <f>C1257-D1257-E1257</f>
        <v>27168.829999999994</v>
      </c>
    </row>
    <row r="1258" spans="2:13" ht="15.75" thickBot="1" x14ac:dyDescent="0.3">
      <c r="B1258" s="214"/>
      <c r="C1258" s="215"/>
      <c r="D1258" s="234"/>
      <c r="E1258" s="213"/>
      <c r="F1258" s="213"/>
      <c r="G1258" s="219"/>
    </row>
    <row r="1259" spans="2:13" x14ac:dyDescent="0.25">
      <c r="B1259" s="214" t="s">
        <v>33</v>
      </c>
      <c r="C1259" s="215">
        <v>0</v>
      </c>
      <c r="D1259" s="216">
        <v>0</v>
      </c>
      <c r="E1259" s="212">
        <f>0-D1259</f>
        <v>0</v>
      </c>
      <c r="F1259" s="212">
        <f t="shared" ref="F1259" si="56">+D1259+E1259</f>
        <v>0</v>
      </c>
      <c r="G1259" s="218">
        <f>C1259-D1259-E1259</f>
        <v>0</v>
      </c>
    </row>
    <row r="1260" spans="2:13" ht="15.75" thickBot="1" x14ac:dyDescent="0.3">
      <c r="B1260" s="214"/>
      <c r="C1260" s="215"/>
      <c r="D1260" s="234"/>
      <c r="E1260" s="213"/>
      <c r="F1260" s="213"/>
      <c r="G1260" s="219"/>
    </row>
    <row r="1261" spans="2:13" x14ac:dyDescent="0.25">
      <c r="B1261" s="214" t="s">
        <v>34</v>
      </c>
      <c r="C1261" s="215">
        <v>0</v>
      </c>
      <c r="D1261" s="216">
        <v>0</v>
      </c>
      <c r="E1261" s="212">
        <f>C1261-D1261</f>
        <v>0</v>
      </c>
      <c r="F1261" s="212">
        <f t="shared" ref="F1261" si="57">+D1261+E1261</f>
        <v>0</v>
      </c>
      <c r="G1261" s="218">
        <f>C1261-D1261-E1261</f>
        <v>0</v>
      </c>
    </row>
    <row r="1262" spans="2:13" ht="15.75" thickBot="1" x14ac:dyDescent="0.3">
      <c r="B1262" s="214"/>
      <c r="C1262" s="215"/>
      <c r="D1262" s="234"/>
      <c r="E1262" s="213"/>
      <c r="F1262" s="213"/>
      <c r="G1262" s="219"/>
    </row>
    <row r="1263" spans="2:13" x14ac:dyDescent="0.25">
      <c r="B1263" s="214" t="s">
        <v>35</v>
      </c>
      <c r="C1263" s="215">
        <v>0</v>
      </c>
      <c r="D1263" s="216">
        <v>0</v>
      </c>
      <c r="E1263" s="212">
        <f>C1263-D1263</f>
        <v>0</v>
      </c>
      <c r="F1263" s="212">
        <f t="shared" ref="F1263" si="58">+D1263+E1263</f>
        <v>0</v>
      </c>
      <c r="G1263" s="218">
        <f>C1263-D1263-E1263</f>
        <v>0</v>
      </c>
    </row>
    <row r="1264" spans="2:13" ht="15.75" thickBot="1" x14ac:dyDescent="0.3">
      <c r="B1264" s="214"/>
      <c r="C1264" s="215"/>
      <c r="D1264" s="234"/>
      <c r="E1264" s="213"/>
      <c r="F1264" s="213"/>
      <c r="G1264" s="219"/>
    </row>
    <row r="1265" spans="2:13" ht="30.75" thickBot="1" x14ac:dyDescent="0.3">
      <c r="B1265" s="214" t="s">
        <v>36</v>
      </c>
      <c r="C1265" s="215">
        <v>0</v>
      </c>
      <c r="D1265" s="216">
        <v>0</v>
      </c>
      <c r="E1265" s="212">
        <f>C1265-D1265</f>
        <v>0</v>
      </c>
      <c r="F1265" s="212">
        <f t="shared" ref="F1265" si="59">+D1265+E1265</f>
        <v>0</v>
      </c>
      <c r="G1265" s="218">
        <f>C1265-D1265-E1265</f>
        <v>0</v>
      </c>
      <c r="H1265" s="155" t="s">
        <v>67</v>
      </c>
      <c r="I1265" s="154" t="s">
        <v>60</v>
      </c>
      <c r="J1265" s="120" t="s">
        <v>61</v>
      </c>
      <c r="K1265" s="126" t="s">
        <v>66</v>
      </c>
      <c r="L1265" s="133" t="s">
        <v>62</v>
      </c>
      <c r="M1265" s="137" t="s">
        <v>63</v>
      </c>
    </row>
    <row r="1266" spans="2:13" ht="15.75" thickBot="1" x14ac:dyDescent="0.3">
      <c r="B1266" s="220"/>
      <c r="C1266" s="221"/>
      <c r="D1266" s="244"/>
      <c r="E1266" s="213"/>
      <c r="F1266" s="213"/>
      <c r="G1266" s="219"/>
      <c r="H1266" s="62">
        <v>100</v>
      </c>
      <c r="I1266" s="63">
        <f>I1267*100/H1267</f>
        <v>37.740913342669259</v>
      </c>
      <c r="J1266" s="63">
        <f>J1267*100/H1267</f>
        <v>44.992714151472448</v>
      </c>
      <c r="K1266" s="64">
        <f>(D1267+E1267)*100/C1267</f>
        <v>82.7336274941417</v>
      </c>
      <c r="L1266" s="91">
        <f>G1267*100/C1267</f>
        <v>17.266372505858289</v>
      </c>
      <c r="M1266" s="112">
        <f>M1267*100/H1267</f>
        <v>62.259086657330734</v>
      </c>
    </row>
    <row r="1267" spans="2:13" ht="15.75" thickBot="1" x14ac:dyDescent="0.3">
      <c r="B1267" s="14" t="s">
        <v>22</v>
      </c>
      <c r="C1267" s="15">
        <f>SUM(C1251:C1266)</f>
        <v>743221.60000000009</v>
      </c>
      <c r="D1267" s="15">
        <f>SUM(D1251:D1265)</f>
        <v>280498.62</v>
      </c>
      <c r="E1267" s="16">
        <f>SUM(E1251:E1266)</f>
        <v>334395.57</v>
      </c>
      <c r="F1267" s="16">
        <f>SUM(F1251:F1266)</f>
        <v>614894.18999999994</v>
      </c>
      <c r="G1267" s="46">
        <f>C1267-D1267-E1267</f>
        <v>128327.41000000009</v>
      </c>
      <c r="H1267" s="80">
        <f>K1267+L1267</f>
        <v>743221.60000000009</v>
      </c>
      <c r="I1267" s="81">
        <f>+D1267</f>
        <v>280498.62</v>
      </c>
      <c r="J1267" s="81">
        <f>+E1267</f>
        <v>334395.57</v>
      </c>
      <c r="K1267" s="82">
        <f>D1267+E1267</f>
        <v>614894.18999999994</v>
      </c>
      <c r="L1267" s="95">
        <f>+G1267</f>
        <v>128327.41000000009</v>
      </c>
      <c r="M1267" s="97">
        <f>H1267-I1267</f>
        <v>462722.9800000001</v>
      </c>
    </row>
    <row r="1268" spans="2:13" ht="15.75" thickBot="1" x14ac:dyDescent="0.3">
      <c r="B1268" s="17" t="s">
        <v>23</v>
      </c>
      <c r="C1268" s="18">
        <f>C1250+C1267</f>
        <v>1420091.48</v>
      </c>
      <c r="D1268" s="19">
        <f>D1267+D1250</f>
        <v>804574.59</v>
      </c>
      <c r="E1268" s="20">
        <f>E1250+E1267</f>
        <v>365732.57</v>
      </c>
      <c r="F1268" s="20">
        <f>F1250+F1267</f>
        <v>1170307.1599999999</v>
      </c>
      <c r="G1268" s="28">
        <f>C1268-D1268-E1268</f>
        <v>249784.32000000001</v>
      </c>
      <c r="H1268" s="83">
        <f>+C1268</f>
        <v>1420091.48</v>
      </c>
      <c r="I1268" s="84">
        <f>+D1268</f>
        <v>804574.59</v>
      </c>
      <c r="J1268" s="84">
        <f>+E1268</f>
        <v>365732.57</v>
      </c>
      <c r="K1268" s="84">
        <f>I1268+J1268</f>
        <v>1170307.1599999999</v>
      </c>
      <c r="L1268" s="117">
        <f>H1268-K1268</f>
        <v>249784.32000000007</v>
      </c>
      <c r="M1268" s="97">
        <f>H1268-I1268</f>
        <v>615516.89</v>
      </c>
    </row>
    <row r="1269" spans="2:13" ht="15.75" thickBot="1" x14ac:dyDescent="0.3">
      <c r="B1269" s="12"/>
      <c r="C1269" s="13"/>
      <c r="D1269" s="12"/>
      <c r="E1269" s="12"/>
      <c r="F1269" s="12"/>
      <c r="G1269" s="12"/>
      <c r="H1269" s="144">
        <v>100</v>
      </c>
      <c r="I1269" s="145">
        <f>I1268*100/H1268</f>
        <v>56.656532436910332</v>
      </c>
      <c r="J1269" s="145">
        <f>J1268*100/H1268</f>
        <v>25.754155640733792</v>
      </c>
      <c r="K1269" s="145">
        <f>K1268*100/H1268</f>
        <v>82.41068807764411</v>
      </c>
      <c r="L1269" s="146">
        <f>L1268*100/H1268</f>
        <v>17.589311922355879</v>
      </c>
      <c r="M1269" s="132">
        <f>M1268*100/H1268</f>
        <v>43.343467563089668</v>
      </c>
    </row>
    <row r="1270" spans="2:13" x14ac:dyDescent="0.25">
      <c r="B1270" s="12"/>
      <c r="C1270" s="13"/>
      <c r="D1270" s="12"/>
      <c r="E1270" s="12"/>
      <c r="F1270" s="12"/>
      <c r="G1270" s="12"/>
    </row>
    <row r="1271" spans="2:13" x14ac:dyDescent="0.25">
      <c r="B1271" s="12"/>
      <c r="C1271" s="13"/>
      <c r="D1271" s="12"/>
      <c r="E1271" s="12"/>
      <c r="F1271" s="12"/>
      <c r="G1271" s="12"/>
    </row>
    <row r="1272" spans="2:13" x14ac:dyDescent="0.25">
      <c r="B1272" s="12"/>
      <c r="C1272" s="13"/>
      <c r="D1272" s="12"/>
      <c r="E1272" s="12"/>
      <c r="F1272" s="12"/>
      <c r="G1272" s="12"/>
    </row>
    <row r="1273" spans="2:13" x14ac:dyDescent="0.25">
      <c r="B1273" s="12"/>
      <c r="C1273" s="13"/>
      <c r="D1273" s="12"/>
      <c r="E1273" s="12"/>
      <c r="F1273" s="12"/>
      <c r="G1273" s="12"/>
    </row>
    <row r="1274" spans="2:13" x14ac:dyDescent="0.25">
      <c r="B1274" s="12"/>
      <c r="C1274" s="13"/>
      <c r="D1274" s="12"/>
      <c r="E1274" s="12"/>
      <c r="F1274" s="12"/>
      <c r="G1274" s="12"/>
    </row>
    <row r="1275" spans="2:13" x14ac:dyDescent="0.25">
      <c r="B1275" s="12"/>
      <c r="C1275" s="13"/>
      <c r="D1275" s="12"/>
      <c r="E1275" s="12"/>
      <c r="F1275" s="12"/>
      <c r="G1275" s="12"/>
    </row>
    <row r="1276" spans="2:13" x14ac:dyDescent="0.25">
      <c r="B1276" s="12"/>
      <c r="C1276" s="13"/>
      <c r="D1276" s="12"/>
      <c r="E1276" s="12"/>
      <c r="F1276" s="12"/>
      <c r="G1276" s="12"/>
    </row>
    <row r="1277" spans="2:13" x14ac:dyDescent="0.25">
      <c r="B1277" s="12"/>
      <c r="C1277" s="13"/>
      <c r="D1277" s="12"/>
      <c r="E1277" s="12"/>
      <c r="F1277" s="12"/>
      <c r="G1277" s="12"/>
    </row>
    <row r="1278" spans="2:13" x14ac:dyDescent="0.25">
      <c r="B1278" s="12"/>
      <c r="C1278" s="13"/>
      <c r="D1278" s="12"/>
      <c r="E1278" s="12"/>
      <c r="F1278" s="12"/>
      <c r="G1278" s="12"/>
    </row>
    <row r="1279" spans="2:13" x14ac:dyDescent="0.25">
      <c r="B1279" s="12"/>
      <c r="C1279" s="13"/>
      <c r="D1279" s="12"/>
      <c r="E1279" s="12"/>
      <c r="F1279" s="12"/>
      <c r="G1279" s="12"/>
    </row>
    <row r="1280" spans="2:13" x14ac:dyDescent="0.25">
      <c r="B1280" s="12"/>
      <c r="C1280" s="13"/>
      <c r="D1280" s="12"/>
      <c r="E1280" s="12"/>
      <c r="F1280" s="12"/>
      <c r="G1280" s="12"/>
    </row>
    <row r="1281" spans="2:12" x14ac:dyDescent="0.25">
      <c r="B1281" s="12"/>
      <c r="C1281" s="13"/>
      <c r="D1281" s="12"/>
      <c r="E1281" s="12"/>
      <c r="F1281" s="12"/>
      <c r="G1281" s="12"/>
    </row>
    <row r="1282" spans="2:12" x14ac:dyDescent="0.25">
      <c r="B1282" s="12"/>
      <c r="C1282" s="13"/>
      <c r="D1282" s="12"/>
      <c r="E1282" s="12"/>
      <c r="F1282" s="12"/>
      <c r="G1282" s="12"/>
    </row>
    <row r="1283" spans="2:12" x14ac:dyDescent="0.25">
      <c r="B1283" s="12"/>
      <c r="C1283" s="13"/>
      <c r="D1283" s="12"/>
      <c r="E1283" s="12"/>
      <c r="F1283" s="12"/>
      <c r="G1283" s="12"/>
    </row>
    <row r="1284" spans="2:12" x14ac:dyDescent="0.25">
      <c r="B1284" s="12"/>
      <c r="C1284" s="13"/>
      <c r="D1284" s="12"/>
      <c r="E1284" s="12"/>
      <c r="F1284" s="12"/>
      <c r="G1284" s="12"/>
    </row>
    <row r="1285" spans="2:12" x14ac:dyDescent="0.25">
      <c r="B1285" s="12"/>
      <c r="C1285" s="13"/>
      <c r="D1285" s="12"/>
      <c r="E1285" s="12"/>
      <c r="F1285" s="12"/>
      <c r="G1285" s="12"/>
    </row>
    <row r="1286" spans="2:12" x14ac:dyDescent="0.25">
      <c r="B1286" s="225" t="s">
        <v>0</v>
      </c>
      <c r="C1286" s="225"/>
      <c r="D1286" s="225"/>
      <c r="E1286" s="225"/>
      <c r="F1286" s="225"/>
      <c r="G1286" s="225"/>
    </row>
    <row r="1287" spans="2:12" x14ac:dyDescent="0.25">
      <c r="B1287" s="225" t="s">
        <v>1</v>
      </c>
      <c r="C1287" s="225"/>
      <c r="D1287" s="225"/>
      <c r="E1287" s="225"/>
      <c r="F1287" s="225"/>
      <c r="G1287" s="225"/>
    </row>
    <row r="1288" spans="2:12" x14ac:dyDescent="0.25">
      <c r="B1288" s="225" t="s">
        <v>2</v>
      </c>
      <c r="C1288" s="225"/>
      <c r="D1288" s="225"/>
      <c r="E1288" s="225"/>
      <c r="F1288" s="225"/>
      <c r="G1288" s="225"/>
    </row>
    <row r="1289" spans="2:12" x14ac:dyDescent="0.25">
      <c r="B1289" s="225" t="s">
        <v>42</v>
      </c>
      <c r="C1289" s="225"/>
      <c r="D1289" s="225"/>
      <c r="E1289" s="225"/>
      <c r="F1289" s="225"/>
      <c r="G1289" s="225"/>
    </row>
    <row r="1290" spans="2:12" x14ac:dyDescent="0.25">
      <c r="B1290" s="225" t="s">
        <v>124</v>
      </c>
      <c r="C1290" s="225"/>
      <c r="D1290" s="225"/>
      <c r="E1290" s="225"/>
      <c r="F1290" s="225"/>
      <c r="G1290" s="225"/>
    </row>
    <row r="1291" spans="2:12" ht="15.75" thickBot="1" x14ac:dyDescent="0.3">
      <c r="B1291" s="12"/>
      <c r="C1291" s="13"/>
      <c r="D1291" s="12"/>
      <c r="E1291" s="12"/>
      <c r="F1291" s="12"/>
      <c r="G1291" s="12"/>
    </row>
    <row r="1292" spans="2:12" ht="36.75" thickBot="1" x14ac:dyDescent="0.3">
      <c r="B1292" s="185"/>
      <c r="C1292" s="184" t="s">
        <v>5</v>
      </c>
      <c r="D1292" s="173" t="s">
        <v>72</v>
      </c>
      <c r="E1292" s="172" t="s">
        <v>6</v>
      </c>
      <c r="F1292" s="161" t="s">
        <v>60</v>
      </c>
      <c r="G1292" s="172" t="s">
        <v>7</v>
      </c>
      <c r="H1292" s="180" t="s">
        <v>98</v>
      </c>
      <c r="I1292" s="172" t="s">
        <v>65</v>
      </c>
      <c r="J1292" s="180" t="s">
        <v>99</v>
      </c>
      <c r="K1292" s="177" t="s">
        <v>8</v>
      </c>
      <c r="L1292" s="181" t="s">
        <v>100</v>
      </c>
    </row>
    <row r="1293" spans="2:12" ht="15.75" thickBot="1" x14ac:dyDescent="0.3">
      <c r="B1293" s="194" t="s">
        <v>116</v>
      </c>
      <c r="C1293" s="182">
        <v>1420091.48</v>
      </c>
      <c r="D1293" s="174">
        <v>1</v>
      </c>
      <c r="E1293" s="170">
        <v>804574.59</v>
      </c>
      <c r="F1293" s="175">
        <f>E1293/C1293</f>
        <v>0.56656532436910334</v>
      </c>
      <c r="G1293" s="170">
        <v>365732.57</v>
      </c>
      <c r="H1293" s="175">
        <f>G1293/C1293</f>
        <v>0.25754155640733795</v>
      </c>
      <c r="I1293" s="170">
        <f>E1293+G1293</f>
        <v>1170307.1599999999</v>
      </c>
      <c r="J1293" s="175">
        <f>I1293/C1293</f>
        <v>0.82410688077644123</v>
      </c>
      <c r="K1293" s="189">
        <f>C1293-I1293</f>
        <v>249784.32000000007</v>
      </c>
      <c r="L1293" s="190">
        <f>K1293/C1293</f>
        <v>0.1758931192235588</v>
      </c>
    </row>
    <row r="1294" spans="2:12" x14ac:dyDescent="0.25">
      <c r="B1294" s="12"/>
      <c r="C1294" s="13"/>
      <c r="D1294" s="12"/>
      <c r="E1294" s="12"/>
      <c r="F1294" s="12"/>
      <c r="G1294" s="12"/>
    </row>
    <row r="1295" spans="2:12" x14ac:dyDescent="0.25">
      <c r="B1295" s="12"/>
      <c r="C1295" s="13"/>
      <c r="D1295" s="12"/>
      <c r="E1295" s="12"/>
      <c r="F1295" s="12"/>
      <c r="G1295" s="12"/>
    </row>
    <row r="1296" spans="2:12" x14ac:dyDescent="0.25">
      <c r="B1296" s="12"/>
      <c r="C1296" s="13"/>
      <c r="D1296" s="12"/>
      <c r="E1296" s="12"/>
      <c r="F1296" s="12"/>
      <c r="G1296" s="12"/>
    </row>
    <row r="1297" spans="2:7" x14ac:dyDescent="0.25">
      <c r="B1297" s="12"/>
      <c r="C1297" s="13"/>
      <c r="D1297" s="12"/>
      <c r="E1297" s="12"/>
      <c r="F1297" s="12"/>
      <c r="G1297" s="12"/>
    </row>
    <row r="1298" spans="2:7" x14ac:dyDescent="0.25">
      <c r="B1298" s="12"/>
      <c r="C1298" s="13"/>
      <c r="D1298" s="12"/>
      <c r="E1298" s="12"/>
      <c r="F1298" s="12"/>
      <c r="G1298" s="12"/>
    </row>
    <row r="1299" spans="2:7" x14ac:dyDescent="0.25">
      <c r="B1299" s="12"/>
      <c r="C1299" s="13"/>
      <c r="D1299" s="12"/>
      <c r="E1299" s="12"/>
      <c r="F1299" s="12"/>
      <c r="G1299" s="12"/>
    </row>
    <row r="1300" spans="2:7" x14ac:dyDescent="0.25">
      <c r="B1300" s="12"/>
      <c r="C1300" s="13"/>
      <c r="D1300" s="12"/>
      <c r="E1300" s="12"/>
      <c r="F1300" s="12"/>
      <c r="G1300" s="12"/>
    </row>
    <row r="1301" spans="2:7" x14ac:dyDescent="0.25">
      <c r="B1301" s="12"/>
      <c r="C1301" s="13"/>
      <c r="D1301" s="12"/>
      <c r="E1301" s="12"/>
      <c r="F1301" s="12"/>
      <c r="G1301" s="12"/>
    </row>
    <row r="1302" spans="2:7" x14ac:dyDescent="0.25">
      <c r="B1302" s="12"/>
      <c r="C1302" s="13"/>
      <c r="D1302" s="12"/>
      <c r="E1302" s="12"/>
      <c r="F1302" s="12"/>
      <c r="G1302" s="12"/>
    </row>
    <row r="1303" spans="2:7" x14ac:dyDescent="0.25">
      <c r="B1303" s="12"/>
      <c r="C1303" s="13"/>
      <c r="D1303" s="12"/>
      <c r="E1303" s="12"/>
      <c r="F1303" s="12"/>
      <c r="G1303" s="12"/>
    </row>
    <row r="1304" spans="2:7" x14ac:dyDescent="0.25">
      <c r="B1304" s="12"/>
      <c r="C1304" s="13"/>
      <c r="D1304" s="12"/>
      <c r="E1304" s="12"/>
      <c r="F1304" s="12"/>
      <c r="G1304" s="12"/>
    </row>
    <row r="1305" spans="2:7" x14ac:dyDescent="0.25">
      <c r="B1305" s="12"/>
      <c r="C1305" s="13"/>
      <c r="D1305" s="12"/>
      <c r="E1305" s="12"/>
      <c r="F1305" s="12"/>
      <c r="G1305" s="12"/>
    </row>
    <row r="1306" spans="2:7" x14ac:dyDescent="0.25">
      <c r="B1306" s="12"/>
      <c r="C1306" s="13"/>
      <c r="D1306" s="12"/>
      <c r="E1306" s="12"/>
      <c r="F1306" s="12"/>
      <c r="G1306" s="12"/>
    </row>
    <row r="1307" spans="2:7" x14ac:dyDescent="0.25">
      <c r="B1307" s="12"/>
      <c r="C1307" s="13"/>
      <c r="D1307" s="12"/>
      <c r="E1307" s="12"/>
      <c r="F1307" s="12"/>
      <c r="G1307" s="12"/>
    </row>
    <row r="1308" spans="2:7" x14ac:dyDescent="0.25">
      <c r="B1308" s="12"/>
      <c r="C1308" s="13"/>
      <c r="D1308" s="12"/>
      <c r="E1308" s="12"/>
      <c r="F1308" s="12"/>
      <c r="G1308" s="12"/>
    </row>
    <row r="1309" spans="2:7" x14ac:dyDescent="0.25">
      <c r="B1309" s="12"/>
      <c r="C1309" s="13"/>
      <c r="D1309" s="12"/>
      <c r="E1309" s="12"/>
      <c r="F1309" s="12"/>
      <c r="G1309" s="12"/>
    </row>
    <row r="1310" spans="2:7" x14ac:dyDescent="0.25">
      <c r="B1310" s="12"/>
      <c r="C1310" s="13"/>
      <c r="D1310" s="12"/>
      <c r="E1310" s="12"/>
      <c r="F1310" s="12"/>
      <c r="G1310" s="12"/>
    </row>
    <row r="1311" spans="2:7" x14ac:dyDescent="0.25">
      <c r="B1311" s="12"/>
      <c r="C1311" s="13"/>
      <c r="D1311" s="12"/>
      <c r="E1311" s="12"/>
      <c r="F1311" s="12"/>
      <c r="G1311" s="12"/>
    </row>
    <row r="1312" spans="2:7" x14ac:dyDescent="0.25">
      <c r="B1312" s="12"/>
      <c r="C1312" s="13"/>
      <c r="D1312" s="12"/>
      <c r="E1312" s="12"/>
      <c r="F1312" s="12"/>
      <c r="G1312" s="12"/>
    </row>
    <row r="1313" spans="2:7" x14ac:dyDescent="0.25">
      <c r="B1313" s="12"/>
      <c r="C1313" s="13"/>
      <c r="D1313" s="12"/>
      <c r="E1313" s="12"/>
      <c r="F1313" s="12"/>
      <c r="G1313" s="12"/>
    </row>
    <row r="1314" spans="2:7" x14ac:dyDescent="0.25">
      <c r="B1314" s="12"/>
      <c r="C1314" s="13"/>
      <c r="D1314" s="12"/>
      <c r="E1314" s="12"/>
      <c r="F1314" s="12"/>
      <c r="G1314" s="12"/>
    </row>
    <row r="1315" spans="2:7" x14ac:dyDescent="0.25">
      <c r="B1315" s="12"/>
      <c r="C1315" s="13"/>
      <c r="D1315" s="12"/>
      <c r="E1315" s="12"/>
      <c r="F1315" s="12"/>
      <c r="G1315" s="12"/>
    </row>
    <row r="1316" spans="2:7" x14ac:dyDescent="0.25">
      <c r="B1316" s="12"/>
      <c r="C1316" s="13"/>
      <c r="D1316" s="12"/>
      <c r="E1316" s="12"/>
      <c r="F1316" s="12"/>
      <c r="G1316" s="12"/>
    </row>
    <row r="1317" spans="2:7" x14ac:dyDescent="0.25">
      <c r="B1317" s="12"/>
      <c r="C1317" s="13"/>
      <c r="D1317" s="12"/>
      <c r="E1317" s="12"/>
      <c r="F1317" s="12"/>
      <c r="G1317" s="12"/>
    </row>
    <row r="1318" spans="2:7" x14ac:dyDescent="0.25">
      <c r="B1318" s="12"/>
      <c r="C1318" s="13"/>
      <c r="D1318" s="12"/>
      <c r="E1318" s="12"/>
      <c r="F1318" s="12"/>
      <c r="G1318" s="12"/>
    </row>
    <row r="1319" spans="2:7" x14ac:dyDescent="0.25">
      <c r="B1319" s="12"/>
      <c r="C1319" s="13"/>
      <c r="D1319" s="12"/>
      <c r="E1319" s="12"/>
      <c r="F1319" s="12"/>
      <c r="G1319" s="12"/>
    </row>
    <row r="1320" spans="2:7" x14ac:dyDescent="0.25">
      <c r="B1320" s="12"/>
      <c r="C1320" s="13"/>
      <c r="D1320" s="12"/>
      <c r="E1320" s="12"/>
      <c r="F1320" s="12"/>
      <c r="G1320" s="12"/>
    </row>
    <row r="1321" spans="2:7" x14ac:dyDescent="0.25">
      <c r="B1321" s="12"/>
      <c r="C1321" s="13"/>
      <c r="D1321" s="12"/>
      <c r="E1321" s="12"/>
      <c r="F1321" s="12"/>
      <c r="G1321" s="12"/>
    </row>
    <row r="1322" spans="2:7" x14ac:dyDescent="0.25">
      <c r="B1322" s="12"/>
      <c r="C1322" s="13"/>
      <c r="D1322" s="12"/>
      <c r="E1322" s="12"/>
      <c r="F1322" s="12"/>
      <c r="G1322" s="12"/>
    </row>
    <row r="1323" spans="2:7" x14ac:dyDescent="0.25">
      <c r="B1323" s="12"/>
      <c r="C1323" s="13"/>
      <c r="D1323" s="12"/>
      <c r="E1323" s="12"/>
      <c r="F1323" s="12"/>
      <c r="G1323" s="12"/>
    </row>
    <row r="1324" spans="2:7" x14ac:dyDescent="0.25">
      <c r="B1324" s="12"/>
      <c r="C1324" s="13"/>
      <c r="D1324" s="12"/>
      <c r="E1324" s="12"/>
      <c r="F1324" s="12"/>
      <c r="G1324" s="12"/>
    </row>
    <row r="1325" spans="2:7" x14ac:dyDescent="0.25">
      <c r="B1325" s="12"/>
      <c r="C1325" s="13"/>
      <c r="D1325" s="12"/>
      <c r="E1325" s="12"/>
      <c r="F1325" s="12"/>
      <c r="G1325" s="12"/>
    </row>
    <row r="1326" spans="2:7" x14ac:dyDescent="0.25">
      <c r="B1326" s="12"/>
      <c r="C1326" s="13"/>
      <c r="D1326" s="12"/>
      <c r="E1326" s="12"/>
      <c r="F1326" s="12"/>
      <c r="G1326" s="12"/>
    </row>
    <row r="1327" spans="2:7" x14ac:dyDescent="0.25">
      <c r="B1327" s="12"/>
      <c r="C1327" s="13"/>
      <c r="D1327" s="12"/>
      <c r="E1327" s="12"/>
      <c r="F1327" s="12"/>
      <c r="G1327" s="12"/>
    </row>
    <row r="1328" spans="2:7" x14ac:dyDescent="0.25">
      <c r="B1328" s="12"/>
      <c r="C1328" s="13"/>
      <c r="D1328" s="12"/>
      <c r="E1328" s="12"/>
      <c r="F1328" s="12"/>
      <c r="G1328" s="12"/>
    </row>
    <row r="1329" spans="2:7" x14ac:dyDescent="0.25">
      <c r="B1329" s="12"/>
      <c r="C1329" s="13"/>
      <c r="D1329" s="12"/>
      <c r="E1329" s="12"/>
      <c r="F1329" s="12"/>
      <c r="G1329" s="12"/>
    </row>
    <row r="1330" spans="2:7" x14ac:dyDescent="0.25">
      <c r="B1330" s="12"/>
      <c r="C1330" s="13"/>
      <c r="D1330" s="12"/>
      <c r="E1330" s="12"/>
      <c r="F1330" s="12"/>
      <c r="G1330" s="12"/>
    </row>
    <row r="1331" spans="2:7" x14ac:dyDescent="0.25">
      <c r="B1331" s="12"/>
      <c r="C1331" s="13"/>
      <c r="D1331" s="12"/>
      <c r="E1331" s="12"/>
      <c r="F1331" s="12"/>
      <c r="G1331" s="12"/>
    </row>
    <row r="1332" spans="2:7" x14ac:dyDescent="0.25">
      <c r="B1332" s="12"/>
      <c r="C1332" s="13"/>
      <c r="D1332" s="12"/>
      <c r="E1332" s="12"/>
      <c r="F1332" s="12"/>
      <c r="G1332" s="12"/>
    </row>
    <row r="1333" spans="2:7" x14ac:dyDescent="0.25">
      <c r="B1333" s="12"/>
      <c r="C1333" s="13"/>
      <c r="D1333" s="12"/>
      <c r="E1333" s="12"/>
      <c r="F1333" s="12"/>
      <c r="G1333" s="12"/>
    </row>
    <row r="1334" spans="2:7" x14ac:dyDescent="0.25">
      <c r="B1334" s="12"/>
      <c r="C1334" s="13"/>
      <c r="D1334" s="12"/>
      <c r="E1334" s="12"/>
      <c r="F1334" s="12"/>
      <c r="G1334" s="12"/>
    </row>
    <row r="1335" spans="2:7" x14ac:dyDescent="0.25">
      <c r="B1335" s="12"/>
      <c r="C1335" s="13"/>
      <c r="D1335" s="12"/>
      <c r="E1335" s="12"/>
      <c r="F1335" s="12"/>
      <c r="G1335" s="12"/>
    </row>
    <row r="1336" spans="2:7" x14ac:dyDescent="0.25">
      <c r="B1336" s="12"/>
      <c r="C1336" s="13"/>
      <c r="D1336" s="12"/>
      <c r="E1336" s="12"/>
      <c r="F1336" s="12"/>
      <c r="G1336" s="12"/>
    </row>
    <row r="1337" spans="2:7" x14ac:dyDescent="0.25">
      <c r="B1337" s="12"/>
      <c r="C1337" s="13"/>
      <c r="D1337" s="12"/>
      <c r="E1337" s="12"/>
      <c r="F1337" s="12"/>
      <c r="G1337" s="12"/>
    </row>
    <row r="1338" spans="2:7" x14ac:dyDescent="0.25">
      <c r="B1338" s="12"/>
      <c r="C1338" s="13"/>
      <c r="D1338" s="12"/>
      <c r="E1338" s="12"/>
      <c r="F1338" s="12"/>
      <c r="G1338" s="12"/>
    </row>
    <row r="1339" spans="2:7" x14ac:dyDescent="0.25">
      <c r="B1339" s="12"/>
      <c r="C1339" s="13"/>
      <c r="D1339" s="12"/>
      <c r="E1339" s="12"/>
      <c r="F1339" s="12"/>
      <c r="G1339" s="12"/>
    </row>
    <row r="1340" spans="2:7" x14ac:dyDescent="0.25">
      <c r="B1340" s="225" t="s">
        <v>0</v>
      </c>
      <c r="C1340" s="225"/>
      <c r="D1340" s="225"/>
      <c r="E1340" s="225"/>
      <c r="F1340" s="225"/>
      <c r="G1340" s="225"/>
    </row>
    <row r="1341" spans="2:7" x14ac:dyDescent="0.25">
      <c r="B1341" s="225" t="s">
        <v>1</v>
      </c>
      <c r="C1341" s="225"/>
      <c r="D1341" s="225"/>
      <c r="E1341" s="225"/>
      <c r="F1341" s="225"/>
      <c r="G1341" s="225"/>
    </row>
    <row r="1342" spans="2:7" x14ac:dyDescent="0.25">
      <c r="B1342" s="225" t="s">
        <v>2</v>
      </c>
      <c r="C1342" s="225"/>
      <c r="D1342" s="225"/>
      <c r="E1342" s="225"/>
      <c r="F1342" s="225"/>
      <c r="G1342" s="225"/>
    </row>
    <row r="1343" spans="2:7" x14ac:dyDescent="0.25">
      <c r="B1343" s="225" t="s">
        <v>43</v>
      </c>
      <c r="C1343" s="225"/>
      <c r="D1343" s="225"/>
      <c r="E1343" s="225"/>
      <c r="F1343" s="225"/>
      <c r="G1343" s="225"/>
    </row>
    <row r="1344" spans="2:7" x14ac:dyDescent="0.25">
      <c r="B1344" s="225" t="s">
        <v>124</v>
      </c>
      <c r="C1344" s="225"/>
      <c r="D1344" s="225"/>
      <c r="E1344" s="225"/>
      <c r="F1344" s="225"/>
      <c r="G1344" s="225"/>
    </row>
    <row r="1345" spans="2:13" x14ac:dyDescent="0.25">
      <c r="B1345" s="159"/>
      <c r="C1345" s="159"/>
      <c r="D1345" s="159"/>
      <c r="E1345" s="159"/>
      <c r="F1345" s="159"/>
      <c r="G1345" s="12"/>
    </row>
    <row r="1346" spans="2:13" ht="15.75" thickBot="1" x14ac:dyDescent="0.3">
      <c r="B1346" s="159"/>
      <c r="C1346" s="159"/>
      <c r="D1346" s="159"/>
      <c r="E1346" s="159"/>
      <c r="F1346" s="159"/>
      <c r="G1346" s="12"/>
    </row>
    <row r="1347" spans="2:13" ht="24.75" thickBot="1" x14ac:dyDescent="0.3">
      <c r="B1347" s="2" t="s">
        <v>4</v>
      </c>
      <c r="C1347" s="3" t="s">
        <v>5</v>
      </c>
      <c r="D1347" s="3" t="s">
        <v>6</v>
      </c>
      <c r="E1347" s="4" t="s">
        <v>7</v>
      </c>
      <c r="F1347" s="3" t="s">
        <v>65</v>
      </c>
      <c r="G1347" s="3" t="s">
        <v>8</v>
      </c>
    </row>
    <row r="1348" spans="2:13" x14ac:dyDescent="0.25">
      <c r="B1348" s="226" t="s">
        <v>25</v>
      </c>
      <c r="C1348" s="228">
        <v>169170.01</v>
      </c>
      <c r="D1348" s="245">
        <v>151775.35999999999</v>
      </c>
      <c r="E1348" s="229">
        <f>156980.8-D1348</f>
        <v>5205.4400000000023</v>
      </c>
      <c r="F1348" s="228">
        <f>D1348+E1348</f>
        <v>156980.79999999999</v>
      </c>
      <c r="G1348" s="228">
        <f>C1348-D1348-E1348</f>
        <v>12189.210000000021</v>
      </c>
    </row>
    <row r="1349" spans="2:13" ht="15.75" thickBot="1" x14ac:dyDescent="0.3">
      <c r="B1349" s="227"/>
      <c r="C1349" s="215"/>
      <c r="D1349" s="234"/>
      <c r="E1349" s="230"/>
      <c r="F1349" s="215"/>
      <c r="G1349" s="215"/>
    </row>
    <row r="1350" spans="2:13" x14ac:dyDescent="0.25">
      <c r="B1350" s="231" t="s">
        <v>26</v>
      </c>
      <c r="C1350" s="215">
        <v>10220</v>
      </c>
      <c r="D1350" s="216">
        <v>4289.12</v>
      </c>
      <c r="E1350" s="236">
        <f>4289.12-D1350</f>
        <v>0</v>
      </c>
      <c r="F1350" s="216">
        <f>D1350+E1350</f>
        <v>4289.12</v>
      </c>
      <c r="G1350" s="228">
        <f>C1350-D1350-E1350</f>
        <v>5930.88</v>
      </c>
    </row>
    <row r="1351" spans="2:13" ht="15.75" thickBot="1" x14ac:dyDescent="0.3">
      <c r="B1351" s="231"/>
      <c r="C1351" s="215"/>
      <c r="D1351" s="234"/>
      <c r="E1351" s="263"/>
      <c r="F1351" s="217"/>
      <c r="G1351" s="215"/>
    </row>
    <row r="1352" spans="2:13" x14ac:dyDescent="0.25">
      <c r="B1352" s="231" t="s">
        <v>27</v>
      </c>
      <c r="C1352" s="215">
        <v>0</v>
      </c>
      <c r="D1352" s="216">
        <v>0</v>
      </c>
      <c r="E1352" s="236">
        <f>0-D1352</f>
        <v>0</v>
      </c>
      <c r="F1352" s="216">
        <f t="shared" ref="F1352" si="60">D1352+E1352</f>
        <v>0</v>
      </c>
      <c r="G1352" s="228">
        <f>C1352-D1352-E1352</f>
        <v>0</v>
      </c>
    </row>
    <row r="1353" spans="2:13" ht="15.75" thickBot="1" x14ac:dyDescent="0.3">
      <c r="B1353" s="231"/>
      <c r="C1353" s="215"/>
      <c r="D1353" s="234"/>
      <c r="E1353" s="263"/>
      <c r="F1353" s="217"/>
      <c r="G1353" s="215"/>
    </row>
    <row r="1354" spans="2:13" ht="30.75" thickBot="1" x14ac:dyDescent="0.3">
      <c r="B1354" s="231" t="s">
        <v>28</v>
      </c>
      <c r="C1354" s="215">
        <v>0</v>
      </c>
      <c r="D1354" s="216">
        <v>0</v>
      </c>
      <c r="E1354" s="236">
        <f>C1354-D1354</f>
        <v>0</v>
      </c>
      <c r="F1354" s="216">
        <f t="shared" ref="F1354" si="61">D1354+E1354</f>
        <v>0</v>
      </c>
      <c r="G1354" s="228">
        <f>C1354-D1354-E1354</f>
        <v>0</v>
      </c>
      <c r="H1354" s="155" t="s">
        <v>67</v>
      </c>
      <c r="I1354" s="154" t="s">
        <v>60</v>
      </c>
      <c r="J1354" s="120" t="s">
        <v>61</v>
      </c>
      <c r="K1354" s="126" t="s">
        <v>66</v>
      </c>
      <c r="L1354" s="133" t="s">
        <v>62</v>
      </c>
      <c r="M1354" s="137" t="s">
        <v>63</v>
      </c>
    </row>
    <row r="1355" spans="2:13" ht="15.75" thickBot="1" x14ac:dyDescent="0.3">
      <c r="B1355" s="232"/>
      <c r="C1355" s="216"/>
      <c r="D1355" s="244"/>
      <c r="E1355" s="264"/>
      <c r="F1355" s="217"/>
      <c r="G1355" s="239"/>
      <c r="H1355" s="36">
        <v>100</v>
      </c>
      <c r="I1355" s="37">
        <f>I1356*100/H1356</f>
        <v>86.997308267054549</v>
      </c>
      <c r="J1355" s="37">
        <f>J1356*100/H1356</f>
        <v>2.9017446400722102</v>
      </c>
      <c r="K1355" s="37">
        <f>K1356*100/H1356</f>
        <v>89.899052907126759</v>
      </c>
      <c r="L1355" s="102">
        <f>L1356*100/H1356</f>
        <v>10.100947092873245</v>
      </c>
      <c r="M1355" s="136">
        <f>M1356*100/H1356</f>
        <v>13.002691732945456</v>
      </c>
    </row>
    <row r="1356" spans="2:13" ht="15.75" thickBot="1" x14ac:dyDescent="0.3">
      <c r="B1356" s="14" t="s">
        <v>13</v>
      </c>
      <c r="C1356" s="21">
        <f>SUM(C1348:C1355)</f>
        <v>179390.01</v>
      </c>
      <c r="D1356" s="21">
        <f>SUM(D1348:D1355)</f>
        <v>156064.47999999998</v>
      </c>
      <c r="E1356" s="149">
        <f>SUM(E1348:E1355)</f>
        <v>5205.4400000000023</v>
      </c>
      <c r="F1356" s="16">
        <f>SUM(F1348:F1355)</f>
        <v>161269.91999999998</v>
      </c>
      <c r="G1356" s="46">
        <f>C1356-D1356-E1356</f>
        <v>18120.090000000026</v>
      </c>
      <c r="H1356" s="85">
        <f>+C1356</f>
        <v>179390.01</v>
      </c>
      <c r="I1356" s="86">
        <f>+D1356</f>
        <v>156064.47999999998</v>
      </c>
      <c r="J1356" s="86">
        <f>+E1356</f>
        <v>5205.4400000000023</v>
      </c>
      <c r="K1356" s="86">
        <f>I1356+J1356</f>
        <v>161269.91999999998</v>
      </c>
      <c r="L1356" s="103">
        <f>H1356-K1356</f>
        <v>18120.090000000026</v>
      </c>
      <c r="M1356" s="141">
        <f>H1356-I1356</f>
        <v>23325.530000000028</v>
      </c>
    </row>
    <row r="1357" spans="2:13" x14ac:dyDescent="0.25">
      <c r="B1357" s="224" t="s">
        <v>29</v>
      </c>
      <c r="C1357" s="234">
        <v>22376</v>
      </c>
      <c r="D1357" s="245">
        <v>938.13</v>
      </c>
      <c r="E1357" s="265">
        <f>1126.86-D1357</f>
        <v>188.7299999999999</v>
      </c>
      <c r="F1357" s="216">
        <f t="shared" ref="F1357:F1371" si="62">D1357+E1357</f>
        <v>1126.8599999999999</v>
      </c>
      <c r="G1357" s="218">
        <f>C1357-D1357-E1357</f>
        <v>21249.14</v>
      </c>
    </row>
    <row r="1358" spans="2:13" ht="15.75" thickBot="1" x14ac:dyDescent="0.3">
      <c r="B1358" s="214"/>
      <c r="C1358" s="215"/>
      <c r="D1358" s="234"/>
      <c r="E1358" s="263"/>
      <c r="F1358" s="217"/>
      <c r="G1358" s="219"/>
    </row>
    <row r="1359" spans="2:13" x14ac:dyDescent="0.25">
      <c r="B1359" s="214" t="s">
        <v>30</v>
      </c>
      <c r="C1359" s="215">
        <v>151220.13</v>
      </c>
      <c r="D1359" s="216">
        <v>93591.22</v>
      </c>
      <c r="E1359" s="236">
        <f>126316.65-D1359</f>
        <v>32725.429999999993</v>
      </c>
      <c r="F1359" s="216">
        <f t="shared" si="62"/>
        <v>126316.65</v>
      </c>
      <c r="G1359" s="218">
        <f>C1359-D1359-E1359</f>
        <v>24903.48000000001</v>
      </c>
    </row>
    <row r="1360" spans="2:13" ht="15.75" thickBot="1" x14ac:dyDescent="0.3">
      <c r="B1360" s="214"/>
      <c r="C1360" s="215"/>
      <c r="D1360" s="234"/>
      <c r="E1360" s="263"/>
      <c r="F1360" s="217"/>
      <c r="G1360" s="219"/>
    </row>
    <row r="1361" spans="2:13" x14ac:dyDescent="0.25">
      <c r="B1361" s="214" t="s">
        <v>31</v>
      </c>
      <c r="C1361" s="215">
        <v>23604.77</v>
      </c>
      <c r="D1361" s="216">
        <v>4606.01</v>
      </c>
      <c r="E1361" s="236">
        <f>4606.01-D1361</f>
        <v>0</v>
      </c>
      <c r="F1361" s="216">
        <f t="shared" si="62"/>
        <v>4606.01</v>
      </c>
      <c r="G1361" s="218">
        <f>C1361-D1361-E1361</f>
        <v>18998.760000000002</v>
      </c>
    </row>
    <row r="1362" spans="2:13" ht="15.75" thickBot="1" x14ac:dyDescent="0.3">
      <c r="B1362" s="214"/>
      <c r="C1362" s="215"/>
      <c r="D1362" s="234"/>
      <c r="E1362" s="263"/>
      <c r="F1362" s="217"/>
      <c r="G1362" s="219"/>
    </row>
    <row r="1363" spans="2:13" x14ac:dyDescent="0.25">
      <c r="B1363" s="214" t="s">
        <v>32</v>
      </c>
      <c r="C1363" s="215">
        <v>415709.96</v>
      </c>
      <c r="D1363" s="216">
        <v>154689.97</v>
      </c>
      <c r="E1363" s="236">
        <f>346617.05-D1363</f>
        <v>191927.08</v>
      </c>
      <c r="F1363" s="216">
        <f t="shared" si="62"/>
        <v>346617.05</v>
      </c>
      <c r="G1363" s="218">
        <f>C1363-D1363-E1363</f>
        <v>69092.910000000033</v>
      </c>
    </row>
    <row r="1364" spans="2:13" ht="15.75" thickBot="1" x14ac:dyDescent="0.3">
      <c r="B1364" s="214"/>
      <c r="C1364" s="215"/>
      <c r="D1364" s="234"/>
      <c r="E1364" s="263"/>
      <c r="F1364" s="217"/>
      <c r="G1364" s="219"/>
    </row>
    <row r="1365" spans="2:13" x14ac:dyDescent="0.25">
      <c r="B1365" s="214" t="s">
        <v>33</v>
      </c>
      <c r="C1365" s="215">
        <v>0</v>
      </c>
      <c r="D1365" s="216">
        <v>0</v>
      </c>
      <c r="E1365" s="236">
        <f>0-D1365</f>
        <v>0</v>
      </c>
      <c r="F1365" s="216">
        <f t="shared" si="62"/>
        <v>0</v>
      </c>
      <c r="G1365" s="218">
        <f>C1365-D1365-E1365</f>
        <v>0</v>
      </c>
    </row>
    <row r="1366" spans="2:13" ht="15.75" thickBot="1" x14ac:dyDescent="0.3">
      <c r="B1366" s="214"/>
      <c r="C1366" s="215"/>
      <c r="D1366" s="234"/>
      <c r="E1366" s="263"/>
      <c r="F1366" s="217"/>
      <c r="G1366" s="219"/>
    </row>
    <row r="1367" spans="2:13" x14ac:dyDescent="0.25">
      <c r="B1367" s="214" t="s">
        <v>34</v>
      </c>
      <c r="C1367" s="215">
        <v>0</v>
      </c>
      <c r="D1367" s="216">
        <v>0</v>
      </c>
      <c r="E1367" s="236">
        <f>C1367-D1367</f>
        <v>0</v>
      </c>
      <c r="F1367" s="216">
        <f t="shared" si="62"/>
        <v>0</v>
      </c>
      <c r="G1367" s="218">
        <f>C1367-D1367-E1367</f>
        <v>0</v>
      </c>
    </row>
    <row r="1368" spans="2:13" ht="15.75" thickBot="1" x14ac:dyDescent="0.3">
      <c r="B1368" s="214"/>
      <c r="C1368" s="215"/>
      <c r="D1368" s="234"/>
      <c r="E1368" s="263"/>
      <c r="F1368" s="217"/>
      <c r="G1368" s="219"/>
    </row>
    <row r="1369" spans="2:13" x14ac:dyDescent="0.25">
      <c r="B1369" s="214" t="s">
        <v>35</v>
      </c>
      <c r="C1369" s="215">
        <v>0</v>
      </c>
      <c r="D1369" s="216">
        <v>0</v>
      </c>
      <c r="E1369" s="236">
        <f>C1369-D1369</f>
        <v>0</v>
      </c>
      <c r="F1369" s="216">
        <f t="shared" si="62"/>
        <v>0</v>
      </c>
      <c r="G1369" s="218">
        <f>C1369-D1369-E1369</f>
        <v>0</v>
      </c>
    </row>
    <row r="1370" spans="2:13" ht="15.75" thickBot="1" x14ac:dyDescent="0.3">
      <c r="B1370" s="214"/>
      <c r="C1370" s="215"/>
      <c r="D1370" s="234"/>
      <c r="E1370" s="263"/>
      <c r="F1370" s="217"/>
      <c r="G1370" s="219"/>
    </row>
    <row r="1371" spans="2:13" ht="30.75" thickBot="1" x14ac:dyDescent="0.3">
      <c r="B1371" s="214" t="s">
        <v>36</v>
      </c>
      <c r="C1371" s="215">
        <v>0</v>
      </c>
      <c r="D1371" s="216">
        <v>0</v>
      </c>
      <c r="E1371" s="236">
        <f>C1371-D1371</f>
        <v>0</v>
      </c>
      <c r="F1371" s="216">
        <f t="shared" si="62"/>
        <v>0</v>
      </c>
      <c r="G1371" s="218">
        <f>C1371-D1371-E1371</f>
        <v>0</v>
      </c>
      <c r="H1371" s="155" t="s">
        <v>67</v>
      </c>
      <c r="I1371" s="154" t="s">
        <v>60</v>
      </c>
      <c r="J1371" s="120" t="s">
        <v>61</v>
      </c>
      <c r="K1371" s="126" t="s">
        <v>66</v>
      </c>
      <c r="L1371" s="133" t="s">
        <v>62</v>
      </c>
      <c r="M1371" s="137" t="s">
        <v>63</v>
      </c>
    </row>
    <row r="1372" spans="2:13" ht="15.75" thickBot="1" x14ac:dyDescent="0.3">
      <c r="B1372" s="220"/>
      <c r="C1372" s="221"/>
      <c r="D1372" s="244"/>
      <c r="E1372" s="263"/>
      <c r="F1372" s="217"/>
      <c r="G1372" s="219"/>
      <c r="H1372" s="62">
        <v>100</v>
      </c>
      <c r="I1372" s="63">
        <f>I1373*100/H1373</f>
        <v>41.413090640945732</v>
      </c>
      <c r="J1372" s="63">
        <f>J1373*100/H1373</f>
        <v>36.684166438166883</v>
      </c>
      <c r="K1372" s="64">
        <f>(D1373+E1373)*100/C1373</f>
        <v>78.097257079112609</v>
      </c>
      <c r="L1372" s="91">
        <f>G1373*100/C1373</f>
        <v>21.902742920887384</v>
      </c>
      <c r="M1372" s="112">
        <f>M1373*100/H1373</f>
        <v>58.586909359054268</v>
      </c>
    </row>
    <row r="1373" spans="2:13" ht="15.75" thickBot="1" x14ac:dyDescent="0.3">
      <c r="B1373" s="14" t="s">
        <v>22</v>
      </c>
      <c r="C1373" s="15">
        <f>SUM(C1357:C1372)</f>
        <v>612910.86</v>
      </c>
      <c r="D1373" s="15">
        <f>SUM(D1357:D1371)</f>
        <v>253825.33000000002</v>
      </c>
      <c r="E1373" s="46">
        <f>SUM(E1357:E1372)</f>
        <v>224841.24</v>
      </c>
      <c r="F1373" s="16">
        <f>SUM(F1357:F1372)</f>
        <v>478666.56999999995</v>
      </c>
      <c r="G1373" s="27">
        <f>C1373-D1373-E1373</f>
        <v>134244.28999999998</v>
      </c>
      <c r="H1373" s="80">
        <f>K1373+L1373</f>
        <v>612910.86</v>
      </c>
      <c r="I1373" s="81">
        <f>+D1373</f>
        <v>253825.33000000002</v>
      </c>
      <c r="J1373" s="81">
        <f>+E1373</f>
        <v>224841.24</v>
      </c>
      <c r="K1373" s="82">
        <f>D1373+E1373</f>
        <v>478666.57</v>
      </c>
      <c r="L1373" s="95">
        <f>+G1373</f>
        <v>134244.28999999998</v>
      </c>
      <c r="M1373" s="97">
        <f>H1373-I1373</f>
        <v>359085.52999999997</v>
      </c>
    </row>
    <row r="1374" spans="2:13" ht="15.75" thickBot="1" x14ac:dyDescent="0.3">
      <c r="B1374" s="17" t="s">
        <v>23</v>
      </c>
      <c r="C1374" s="18">
        <f>C1356+C1373</f>
        <v>792300.87</v>
      </c>
      <c r="D1374" s="19">
        <f>D1373+D1356</f>
        <v>409889.81</v>
      </c>
      <c r="E1374" s="28">
        <f>E1356+E1373</f>
        <v>230046.68</v>
      </c>
      <c r="F1374" s="20">
        <f>F1356+F1373</f>
        <v>639936.49</v>
      </c>
      <c r="G1374" s="28">
        <f>C1374-D1374-E1374</f>
        <v>152364.38</v>
      </c>
      <c r="H1374" s="50">
        <f>+C1374</f>
        <v>792300.87</v>
      </c>
      <c r="I1374" s="51">
        <f>+D1374</f>
        <v>409889.81</v>
      </c>
      <c r="J1374" s="51">
        <f>+E1374</f>
        <v>230046.68</v>
      </c>
      <c r="K1374" s="51">
        <f>I1374+J1374</f>
        <v>639936.49</v>
      </c>
      <c r="L1374" s="100">
        <f>H1374-K1374</f>
        <v>152364.38</v>
      </c>
      <c r="M1374" s="125">
        <f>H1374-I1374</f>
        <v>382411.06</v>
      </c>
    </row>
    <row r="1375" spans="2:13" ht="15.75" thickBot="1" x14ac:dyDescent="0.3">
      <c r="B1375" s="12"/>
      <c r="C1375" s="13"/>
      <c r="D1375" s="12"/>
      <c r="E1375" s="12"/>
      <c r="F1375" s="12"/>
      <c r="G1375" s="12"/>
      <c r="H1375" s="129">
        <v>100</v>
      </c>
      <c r="I1375" s="130">
        <f>I1374*100/H1374</f>
        <v>51.734110805658965</v>
      </c>
      <c r="J1375" s="130">
        <f>J1374*100/H1374</f>
        <v>29.035267877466801</v>
      </c>
      <c r="K1375" s="130">
        <f>K1374*100/H1374</f>
        <v>80.769378683125765</v>
      </c>
      <c r="L1375" s="131">
        <f>L1374*100/H1374</f>
        <v>19.230621316874231</v>
      </c>
      <c r="M1375" s="132">
        <f>M1374*100/H1374</f>
        <v>48.265889194341035</v>
      </c>
    </row>
    <row r="1376" spans="2:13" x14ac:dyDescent="0.25">
      <c r="B1376" s="12"/>
      <c r="C1376" s="13"/>
      <c r="D1376" s="12"/>
      <c r="E1376" s="12"/>
      <c r="F1376" s="12"/>
      <c r="G1376" s="12"/>
    </row>
    <row r="1377" spans="2:7" x14ac:dyDescent="0.25">
      <c r="B1377" s="12"/>
      <c r="C1377" s="13"/>
      <c r="D1377" s="12"/>
      <c r="E1377" s="12"/>
      <c r="F1377" s="12"/>
      <c r="G1377" s="12"/>
    </row>
    <row r="1378" spans="2:7" x14ac:dyDescent="0.25">
      <c r="B1378" s="12"/>
      <c r="C1378" s="13"/>
      <c r="D1378" s="12"/>
      <c r="E1378" s="12"/>
      <c r="F1378" s="12"/>
      <c r="G1378" s="12"/>
    </row>
    <row r="1379" spans="2:7" x14ac:dyDescent="0.25">
      <c r="B1379" s="12"/>
      <c r="C1379" s="13"/>
      <c r="D1379" s="12"/>
      <c r="E1379" s="12"/>
      <c r="F1379" s="12"/>
      <c r="G1379" s="12"/>
    </row>
    <row r="1380" spans="2:7" x14ac:dyDescent="0.25">
      <c r="B1380" s="12"/>
      <c r="C1380" s="13"/>
      <c r="D1380" s="12"/>
      <c r="E1380" s="12"/>
      <c r="F1380" s="12"/>
      <c r="G1380" s="12"/>
    </row>
    <row r="1381" spans="2:7" x14ac:dyDescent="0.25">
      <c r="B1381" s="12"/>
      <c r="C1381" s="13"/>
      <c r="D1381" s="12"/>
      <c r="E1381" s="12"/>
      <c r="F1381" s="12"/>
      <c r="G1381" s="12"/>
    </row>
    <row r="1382" spans="2:7" x14ac:dyDescent="0.25">
      <c r="B1382" s="12"/>
      <c r="C1382" s="13"/>
      <c r="D1382" s="12"/>
      <c r="E1382" s="12"/>
      <c r="F1382" s="12"/>
      <c r="G1382" s="12"/>
    </row>
    <row r="1383" spans="2:7" x14ac:dyDescent="0.25">
      <c r="B1383" s="12"/>
      <c r="C1383" s="13"/>
      <c r="D1383" s="12"/>
      <c r="E1383" s="12"/>
      <c r="F1383" s="12"/>
      <c r="G1383" s="12"/>
    </row>
    <row r="1384" spans="2:7" x14ac:dyDescent="0.25">
      <c r="B1384" s="12"/>
      <c r="C1384" s="13"/>
      <c r="D1384" s="12"/>
      <c r="E1384" s="12"/>
      <c r="F1384" s="12"/>
      <c r="G1384" s="12"/>
    </row>
    <row r="1385" spans="2:7" x14ac:dyDescent="0.25">
      <c r="B1385" s="12"/>
      <c r="C1385" s="13"/>
      <c r="D1385" s="12"/>
      <c r="E1385" s="12"/>
      <c r="F1385" s="12"/>
      <c r="G1385" s="12"/>
    </row>
    <row r="1386" spans="2:7" x14ac:dyDescent="0.25">
      <c r="B1386" s="12"/>
      <c r="C1386" s="13"/>
      <c r="D1386" s="12"/>
      <c r="E1386" s="12"/>
      <c r="F1386" s="12"/>
      <c r="G1386" s="12"/>
    </row>
    <row r="1387" spans="2:7" x14ac:dyDescent="0.25">
      <c r="B1387" s="12"/>
      <c r="C1387" s="13"/>
      <c r="D1387" s="12"/>
      <c r="E1387" s="12"/>
      <c r="F1387" s="12"/>
      <c r="G1387" s="12"/>
    </row>
    <row r="1388" spans="2:7" x14ac:dyDescent="0.25">
      <c r="B1388" s="12"/>
      <c r="C1388" s="13"/>
      <c r="D1388" s="12"/>
      <c r="E1388" s="12"/>
      <c r="F1388" s="12"/>
      <c r="G1388" s="12"/>
    </row>
    <row r="1389" spans="2:7" x14ac:dyDescent="0.25">
      <c r="B1389" s="12"/>
      <c r="C1389" s="13"/>
      <c r="D1389" s="12"/>
      <c r="E1389" s="12"/>
      <c r="F1389" s="12"/>
      <c r="G1389" s="12"/>
    </row>
    <row r="1390" spans="2:7" x14ac:dyDescent="0.25">
      <c r="B1390" s="12"/>
      <c r="C1390" s="13"/>
      <c r="D1390" s="12"/>
      <c r="E1390" s="12"/>
      <c r="F1390" s="12"/>
      <c r="G1390" s="12"/>
    </row>
    <row r="1391" spans="2:7" x14ac:dyDescent="0.25">
      <c r="B1391" s="12"/>
      <c r="C1391" s="13"/>
      <c r="D1391" s="12"/>
      <c r="E1391" s="12"/>
      <c r="F1391" s="12"/>
      <c r="G1391" s="12"/>
    </row>
    <row r="1392" spans="2:7" x14ac:dyDescent="0.25">
      <c r="B1392" s="225" t="s">
        <v>0</v>
      </c>
      <c r="C1392" s="225"/>
      <c r="D1392" s="225"/>
      <c r="E1392" s="225"/>
      <c r="F1392" s="225"/>
      <c r="G1392" s="225"/>
    </row>
    <row r="1393" spans="2:13" x14ac:dyDescent="0.25">
      <c r="B1393" s="225" t="s">
        <v>1</v>
      </c>
      <c r="C1393" s="225"/>
      <c r="D1393" s="225"/>
      <c r="E1393" s="225"/>
      <c r="F1393" s="225"/>
      <c r="G1393" s="225"/>
    </row>
    <row r="1394" spans="2:13" x14ac:dyDescent="0.25">
      <c r="B1394" s="225" t="s">
        <v>2</v>
      </c>
      <c r="C1394" s="225"/>
      <c r="D1394" s="225"/>
      <c r="E1394" s="225"/>
      <c r="F1394" s="225"/>
      <c r="G1394" s="225"/>
    </row>
    <row r="1395" spans="2:13" x14ac:dyDescent="0.25">
      <c r="B1395" s="225" t="s">
        <v>43</v>
      </c>
      <c r="C1395" s="225"/>
      <c r="D1395" s="225"/>
      <c r="E1395" s="225"/>
      <c r="F1395" s="225"/>
      <c r="G1395" s="225"/>
    </row>
    <row r="1396" spans="2:13" x14ac:dyDescent="0.25">
      <c r="B1396" s="225" t="s">
        <v>124</v>
      </c>
      <c r="C1396" s="225"/>
      <c r="D1396" s="225"/>
      <c r="E1396" s="225"/>
      <c r="F1396" s="225"/>
      <c r="G1396" s="225"/>
    </row>
    <row r="1397" spans="2:13" ht="15.75" thickBot="1" x14ac:dyDescent="0.3">
      <c r="B1397" s="12"/>
      <c r="C1397" s="13"/>
      <c r="D1397" s="12"/>
      <c r="E1397" s="12"/>
      <c r="F1397" s="12"/>
      <c r="G1397" s="12"/>
    </row>
    <row r="1398" spans="2:13" ht="24.75" thickBot="1" x14ac:dyDescent="0.3">
      <c r="B1398" s="36"/>
      <c r="C1398" s="195"/>
      <c r="D1398" s="184" t="s">
        <v>5</v>
      </c>
      <c r="E1398" s="161" t="s">
        <v>72</v>
      </c>
      <c r="F1398" s="172" t="s">
        <v>6</v>
      </c>
      <c r="G1398" s="161" t="s">
        <v>60</v>
      </c>
      <c r="H1398" s="172" t="s">
        <v>7</v>
      </c>
      <c r="I1398" s="180" t="s">
        <v>98</v>
      </c>
      <c r="J1398" s="172" t="s">
        <v>65</v>
      </c>
      <c r="K1398" s="180" t="s">
        <v>99</v>
      </c>
      <c r="L1398" s="177" t="s">
        <v>8</v>
      </c>
      <c r="M1398" s="181" t="s">
        <v>100</v>
      </c>
    </row>
    <row r="1399" spans="2:13" ht="15.75" thickBot="1" x14ac:dyDescent="0.3">
      <c r="B1399" s="168" t="s">
        <v>115</v>
      </c>
      <c r="C1399" s="196"/>
      <c r="D1399" s="182">
        <v>792300.87</v>
      </c>
      <c r="E1399" s="174">
        <v>1</v>
      </c>
      <c r="F1399" s="170">
        <v>409889.81</v>
      </c>
      <c r="G1399" s="175">
        <f>F1399/D1399</f>
        <v>0.51734110805658962</v>
      </c>
      <c r="H1399" s="170">
        <v>230046.68</v>
      </c>
      <c r="I1399" s="175">
        <f>H1399/D1399</f>
        <v>0.29035267877466803</v>
      </c>
      <c r="J1399" s="170">
        <f>F1399+H1399</f>
        <v>639936.49</v>
      </c>
      <c r="K1399" s="175">
        <f>J1399/D1399</f>
        <v>0.8076937868312577</v>
      </c>
      <c r="L1399" s="189">
        <f>D1399-J1399</f>
        <v>152364.38</v>
      </c>
      <c r="M1399" s="190">
        <f>L1399/D1399</f>
        <v>0.19230621316874233</v>
      </c>
    </row>
    <row r="1400" spans="2:13" x14ac:dyDescent="0.25">
      <c r="B1400" s="12"/>
      <c r="C1400" s="13"/>
      <c r="D1400" s="12"/>
      <c r="E1400" s="12"/>
      <c r="F1400" s="12"/>
      <c r="G1400" s="12"/>
    </row>
    <row r="1401" spans="2:13" x14ac:dyDescent="0.25">
      <c r="B1401" s="12"/>
      <c r="C1401" s="13"/>
      <c r="D1401" s="12"/>
      <c r="E1401" s="12"/>
      <c r="F1401" s="12"/>
      <c r="G1401" s="12"/>
    </row>
    <row r="1402" spans="2:13" x14ac:dyDescent="0.25">
      <c r="B1402" s="12"/>
      <c r="C1402" s="13"/>
      <c r="D1402" s="12"/>
      <c r="E1402" s="12"/>
      <c r="F1402" s="12"/>
      <c r="G1402" s="12"/>
    </row>
    <row r="1403" spans="2:13" x14ac:dyDescent="0.25">
      <c r="B1403" s="12"/>
      <c r="C1403" s="13"/>
      <c r="D1403" s="12"/>
      <c r="E1403" s="12"/>
      <c r="F1403" s="12"/>
      <c r="G1403" s="12"/>
    </row>
    <row r="1404" spans="2:13" x14ac:dyDescent="0.25">
      <c r="B1404" s="12"/>
      <c r="C1404" s="13"/>
      <c r="D1404" s="12"/>
      <c r="E1404" s="12"/>
      <c r="F1404" s="12"/>
      <c r="G1404" s="12"/>
    </row>
    <row r="1405" spans="2:13" x14ac:dyDescent="0.25">
      <c r="B1405" s="12"/>
      <c r="C1405" s="13"/>
      <c r="D1405" s="12"/>
      <c r="E1405" s="12"/>
      <c r="F1405" s="12"/>
      <c r="G1405" s="12"/>
    </row>
    <row r="1406" spans="2:13" x14ac:dyDescent="0.25">
      <c r="B1406" s="12"/>
      <c r="C1406" s="13"/>
      <c r="D1406" s="12"/>
      <c r="E1406" s="12"/>
      <c r="F1406" s="12"/>
      <c r="G1406" s="12"/>
    </row>
    <row r="1407" spans="2:13" x14ac:dyDescent="0.25">
      <c r="B1407" s="12"/>
      <c r="C1407" s="13"/>
      <c r="D1407" s="12"/>
      <c r="E1407" s="12"/>
      <c r="F1407" s="12"/>
      <c r="G1407" s="12"/>
    </row>
    <row r="1408" spans="2:13" x14ac:dyDescent="0.25">
      <c r="B1408" s="12"/>
      <c r="C1408" s="13"/>
      <c r="D1408" s="12"/>
      <c r="E1408" s="12"/>
      <c r="F1408" s="12"/>
      <c r="G1408" s="12"/>
    </row>
    <row r="1409" spans="2:7" x14ac:dyDescent="0.25">
      <c r="B1409" s="12"/>
      <c r="C1409" s="13"/>
      <c r="D1409" s="12"/>
      <c r="E1409" s="12"/>
      <c r="F1409" s="12"/>
      <c r="G1409" s="12"/>
    </row>
    <row r="1410" spans="2:7" x14ac:dyDescent="0.25">
      <c r="B1410" s="12"/>
      <c r="C1410" s="13"/>
      <c r="D1410" s="12"/>
      <c r="E1410" s="12"/>
      <c r="F1410" s="12"/>
      <c r="G1410" s="12"/>
    </row>
    <row r="1411" spans="2:7" x14ac:dyDescent="0.25">
      <c r="B1411" s="12"/>
      <c r="C1411" s="13"/>
      <c r="D1411" s="12"/>
      <c r="E1411" s="12"/>
      <c r="F1411" s="12"/>
      <c r="G1411" s="12"/>
    </row>
    <row r="1412" spans="2:7" x14ac:dyDescent="0.25">
      <c r="B1412" s="12"/>
      <c r="C1412" s="13"/>
      <c r="D1412" s="12"/>
      <c r="E1412" s="12"/>
      <c r="F1412" s="12"/>
      <c r="G1412" s="12"/>
    </row>
    <row r="1413" spans="2:7" x14ac:dyDescent="0.25">
      <c r="B1413" s="12"/>
      <c r="C1413" s="13"/>
      <c r="D1413" s="12"/>
      <c r="E1413" s="12"/>
      <c r="F1413" s="12"/>
      <c r="G1413" s="12"/>
    </row>
    <row r="1414" spans="2:7" x14ac:dyDescent="0.25">
      <c r="B1414" s="12"/>
      <c r="C1414" s="13"/>
      <c r="D1414" s="12"/>
      <c r="E1414" s="12"/>
      <c r="F1414" s="12"/>
      <c r="G1414" s="12"/>
    </row>
    <row r="1415" spans="2:7" x14ac:dyDescent="0.25">
      <c r="B1415" s="12"/>
      <c r="C1415" s="13"/>
      <c r="D1415" s="12"/>
      <c r="E1415" s="12"/>
      <c r="F1415" s="12"/>
      <c r="G1415" s="12"/>
    </row>
    <row r="1416" spans="2:7" x14ac:dyDescent="0.25">
      <c r="B1416" s="12"/>
      <c r="C1416" s="13"/>
      <c r="D1416" s="12"/>
      <c r="E1416" s="12"/>
      <c r="F1416" s="12"/>
      <c r="G1416" s="12"/>
    </row>
    <row r="1417" spans="2:7" x14ac:dyDescent="0.25">
      <c r="B1417" s="12"/>
      <c r="C1417" s="13"/>
      <c r="D1417" s="12"/>
      <c r="E1417" s="12"/>
      <c r="F1417" s="12"/>
      <c r="G1417" s="12"/>
    </row>
    <row r="1418" spans="2:7" x14ac:dyDescent="0.25">
      <c r="B1418" s="12"/>
      <c r="C1418" s="13"/>
      <c r="D1418" s="12"/>
      <c r="E1418" s="12"/>
      <c r="F1418" s="12"/>
      <c r="G1418" s="12"/>
    </row>
    <row r="1419" spans="2:7" x14ac:dyDescent="0.25">
      <c r="B1419" s="12"/>
      <c r="C1419" s="13"/>
      <c r="D1419" s="12"/>
      <c r="E1419" s="12"/>
      <c r="F1419" s="12"/>
      <c r="G1419" s="12"/>
    </row>
    <row r="1420" spans="2:7" x14ac:dyDescent="0.25">
      <c r="B1420" s="12"/>
      <c r="C1420" s="13"/>
      <c r="D1420" s="12"/>
      <c r="E1420" s="12"/>
      <c r="F1420" s="12"/>
      <c r="G1420" s="12"/>
    </row>
    <row r="1421" spans="2:7" x14ac:dyDescent="0.25">
      <c r="B1421" s="12"/>
      <c r="C1421" s="13"/>
      <c r="D1421" s="12"/>
      <c r="E1421" s="12"/>
      <c r="F1421" s="12"/>
      <c r="G1421" s="12"/>
    </row>
    <row r="1422" spans="2:7" x14ac:dyDescent="0.25">
      <c r="B1422" s="12"/>
      <c r="C1422" s="13"/>
      <c r="D1422" s="12"/>
      <c r="E1422" s="12"/>
      <c r="F1422" s="12"/>
      <c r="G1422" s="12"/>
    </row>
    <row r="1423" spans="2:7" x14ac:dyDescent="0.25">
      <c r="B1423" s="12"/>
      <c r="C1423" s="13"/>
      <c r="D1423" s="12"/>
      <c r="E1423" s="12"/>
      <c r="F1423" s="12"/>
      <c r="G1423" s="12"/>
    </row>
    <row r="1424" spans="2:7" x14ac:dyDescent="0.25">
      <c r="B1424" s="12"/>
      <c r="C1424" s="13"/>
      <c r="D1424" s="12"/>
      <c r="E1424" s="12"/>
      <c r="F1424" s="12"/>
      <c r="G1424" s="12"/>
    </row>
    <row r="1425" spans="2:7" x14ac:dyDescent="0.25">
      <c r="B1425" s="12"/>
      <c r="C1425" s="13"/>
      <c r="D1425" s="12"/>
      <c r="E1425" s="12"/>
      <c r="F1425" s="12"/>
      <c r="G1425" s="12"/>
    </row>
    <row r="1426" spans="2:7" x14ac:dyDescent="0.25">
      <c r="B1426" s="12"/>
      <c r="C1426" s="13"/>
      <c r="D1426" s="12"/>
      <c r="E1426" s="12"/>
      <c r="F1426" s="12"/>
      <c r="G1426" s="12"/>
    </row>
    <row r="1427" spans="2:7" x14ac:dyDescent="0.25">
      <c r="B1427" s="12"/>
      <c r="C1427" s="13"/>
      <c r="D1427" s="12"/>
      <c r="E1427" s="12"/>
      <c r="F1427" s="12"/>
      <c r="G1427" s="12"/>
    </row>
    <row r="1428" spans="2:7" x14ac:dyDescent="0.25">
      <c r="B1428" s="12"/>
      <c r="C1428" s="13"/>
      <c r="D1428" s="12"/>
      <c r="E1428" s="12"/>
      <c r="F1428" s="12"/>
      <c r="G1428" s="12"/>
    </row>
    <row r="1429" spans="2:7" x14ac:dyDescent="0.25">
      <c r="B1429" s="12"/>
      <c r="C1429" s="13"/>
      <c r="D1429" s="12"/>
      <c r="E1429" s="12"/>
      <c r="F1429" s="12"/>
      <c r="G1429" s="12"/>
    </row>
    <row r="1430" spans="2:7" x14ac:dyDescent="0.25">
      <c r="B1430" s="12"/>
      <c r="C1430" s="13"/>
      <c r="D1430" s="12"/>
      <c r="E1430" s="12"/>
      <c r="F1430" s="12"/>
      <c r="G1430" s="12"/>
    </row>
    <row r="1431" spans="2:7" x14ac:dyDescent="0.25">
      <c r="B1431" s="12"/>
      <c r="C1431" s="13"/>
      <c r="D1431" s="12"/>
      <c r="E1431" s="12"/>
      <c r="F1431" s="12"/>
      <c r="G1431" s="12"/>
    </row>
    <row r="1432" spans="2:7" x14ac:dyDescent="0.25">
      <c r="B1432" s="12"/>
      <c r="C1432" s="13"/>
      <c r="D1432" s="12"/>
      <c r="E1432" s="12"/>
      <c r="F1432" s="12"/>
      <c r="G1432" s="12"/>
    </row>
    <row r="1433" spans="2:7" x14ac:dyDescent="0.25">
      <c r="B1433" s="12"/>
      <c r="C1433" s="13"/>
      <c r="D1433" s="12"/>
      <c r="E1433" s="12"/>
      <c r="F1433" s="12"/>
      <c r="G1433" s="12"/>
    </row>
    <row r="1434" spans="2:7" x14ac:dyDescent="0.25">
      <c r="B1434" s="12"/>
      <c r="C1434" s="13"/>
      <c r="D1434" s="12"/>
      <c r="E1434" s="12"/>
      <c r="F1434" s="12"/>
      <c r="G1434" s="12"/>
    </row>
    <row r="1435" spans="2:7" x14ac:dyDescent="0.25">
      <c r="B1435" s="12"/>
      <c r="C1435" s="13"/>
      <c r="D1435" s="12"/>
      <c r="E1435" s="12"/>
      <c r="F1435" s="12"/>
      <c r="G1435" s="12"/>
    </row>
    <row r="1436" spans="2:7" x14ac:dyDescent="0.25">
      <c r="B1436" s="12"/>
      <c r="C1436" s="13"/>
      <c r="D1436" s="12"/>
      <c r="E1436" s="12"/>
      <c r="F1436" s="12"/>
      <c r="G1436" s="12"/>
    </row>
    <row r="1437" spans="2:7" x14ac:dyDescent="0.25">
      <c r="B1437" s="12"/>
      <c r="C1437" s="13"/>
      <c r="D1437" s="12"/>
      <c r="E1437" s="12"/>
      <c r="F1437" s="12"/>
      <c r="G1437" s="12"/>
    </row>
    <row r="1438" spans="2:7" x14ac:dyDescent="0.25">
      <c r="B1438" s="12"/>
      <c r="C1438" s="13"/>
      <c r="D1438" s="12"/>
      <c r="E1438" s="12"/>
      <c r="F1438" s="12"/>
      <c r="G1438" s="12"/>
    </row>
    <row r="1439" spans="2:7" x14ac:dyDescent="0.25">
      <c r="B1439" s="12"/>
      <c r="C1439" s="13"/>
      <c r="D1439" s="12"/>
      <c r="E1439" s="12"/>
      <c r="F1439" s="12"/>
      <c r="G1439" s="12"/>
    </row>
    <row r="1440" spans="2:7" x14ac:dyDescent="0.25">
      <c r="B1440" s="12"/>
      <c r="C1440" s="13"/>
      <c r="D1440" s="12"/>
      <c r="E1440" s="12"/>
      <c r="F1440" s="12"/>
      <c r="G1440" s="12"/>
    </row>
    <row r="1441" spans="2:7" x14ac:dyDescent="0.25">
      <c r="B1441" s="12"/>
      <c r="C1441" s="13"/>
      <c r="D1441" s="12"/>
      <c r="E1441" s="12"/>
      <c r="F1441" s="12"/>
      <c r="G1441" s="12"/>
    </row>
    <row r="1442" spans="2:7" x14ac:dyDescent="0.25">
      <c r="B1442" s="12"/>
      <c r="C1442" s="13"/>
      <c r="D1442" s="12"/>
      <c r="E1442" s="12"/>
      <c r="F1442" s="12"/>
      <c r="G1442" s="12"/>
    </row>
    <row r="1443" spans="2:7" x14ac:dyDescent="0.25">
      <c r="B1443" s="12"/>
      <c r="C1443" s="13"/>
      <c r="D1443" s="12"/>
      <c r="E1443" s="12"/>
      <c r="F1443" s="12"/>
      <c r="G1443" s="12"/>
    </row>
    <row r="1444" spans="2:7" x14ac:dyDescent="0.25">
      <c r="B1444" s="12"/>
      <c r="C1444" s="13"/>
      <c r="D1444" s="12"/>
      <c r="E1444" s="12"/>
      <c r="F1444" s="12"/>
      <c r="G1444" s="12"/>
    </row>
    <row r="1445" spans="2:7" x14ac:dyDescent="0.25">
      <c r="B1445" s="12"/>
      <c r="C1445" s="13"/>
      <c r="D1445" s="12"/>
      <c r="E1445" s="12"/>
      <c r="F1445" s="12"/>
      <c r="G1445" s="12"/>
    </row>
    <row r="1446" spans="2:7" x14ac:dyDescent="0.25">
      <c r="B1446" s="225" t="s">
        <v>0</v>
      </c>
      <c r="C1446" s="225"/>
      <c r="D1446" s="225"/>
      <c r="E1446" s="225"/>
      <c r="F1446" s="225"/>
      <c r="G1446" s="225"/>
    </row>
    <row r="1447" spans="2:7" x14ac:dyDescent="0.25">
      <c r="B1447" s="225" t="s">
        <v>1</v>
      </c>
      <c r="C1447" s="225"/>
      <c r="D1447" s="225"/>
      <c r="E1447" s="225"/>
      <c r="F1447" s="225"/>
      <c r="G1447" s="225"/>
    </row>
    <row r="1448" spans="2:7" x14ac:dyDescent="0.25">
      <c r="B1448" s="225" t="s">
        <v>2</v>
      </c>
      <c r="C1448" s="225"/>
      <c r="D1448" s="225"/>
      <c r="E1448" s="225"/>
      <c r="F1448" s="225"/>
      <c r="G1448" s="225"/>
    </row>
    <row r="1449" spans="2:7" x14ac:dyDescent="0.25">
      <c r="B1449" s="225" t="s">
        <v>44</v>
      </c>
      <c r="C1449" s="225"/>
      <c r="D1449" s="225"/>
      <c r="E1449" s="225"/>
      <c r="F1449" s="225"/>
      <c r="G1449" s="225"/>
    </row>
    <row r="1450" spans="2:7" x14ac:dyDescent="0.25">
      <c r="B1450" s="225" t="s">
        <v>124</v>
      </c>
      <c r="C1450" s="225"/>
      <c r="D1450" s="225"/>
      <c r="E1450" s="225"/>
      <c r="F1450" s="225"/>
      <c r="G1450" s="225"/>
    </row>
    <row r="1451" spans="2:7" x14ac:dyDescent="0.25">
      <c r="B1451" s="159"/>
      <c r="C1451" s="159"/>
      <c r="D1451" s="159"/>
      <c r="E1451" s="159"/>
      <c r="F1451" s="159"/>
      <c r="G1451" s="12"/>
    </row>
    <row r="1452" spans="2:7" ht="15.75" thickBot="1" x14ac:dyDescent="0.3">
      <c r="B1452" s="159"/>
      <c r="C1452" s="159"/>
      <c r="D1452" s="159"/>
      <c r="E1452" s="159"/>
      <c r="F1452" s="159"/>
      <c r="G1452" s="12"/>
    </row>
    <row r="1453" spans="2:7" ht="24.75" thickBot="1" x14ac:dyDescent="0.3">
      <c r="B1453" s="2" t="s">
        <v>4</v>
      </c>
      <c r="C1453" s="3" t="s">
        <v>5</v>
      </c>
      <c r="D1453" s="3" t="s">
        <v>6</v>
      </c>
      <c r="E1453" s="4" t="s">
        <v>7</v>
      </c>
      <c r="F1453" s="3" t="s">
        <v>65</v>
      </c>
      <c r="G1453" s="3" t="s">
        <v>8</v>
      </c>
    </row>
    <row r="1454" spans="2:7" x14ac:dyDescent="0.25">
      <c r="B1454" s="226" t="s">
        <v>25</v>
      </c>
      <c r="C1454" s="228">
        <v>24374.58</v>
      </c>
      <c r="D1454" s="245">
        <v>22008.36</v>
      </c>
      <c r="E1454" s="229">
        <f>22008.36-D1454</f>
        <v>0</v>
      </c>
      <c r="F1454" s="228">
        <f>D1454+E1454</f>
        <v>22008.36</v>
      </c>
      <c r="G1454" s="228">
        <f>C1454-D1454-E1454</f>
        <v>2366.2200000000012</v>
      </c>
    </row>
    <row r="1455" spans="2:7" ht="15.75" thickBot="1" x14ac:dyDescent="0.3">
      <c r="B1455" s="227"/>
      <c r="C1455" s="215"/>
      <c r="D1455" s="234"/>
      <c r="E1455" s="230"/>
      <c r="F1455" s="215"/>
      <c r="G1455" s="215"/>
    </row>
    <row r="1456" spans="2:7" x14ac:dyDescent="0.25">
      <c r="B1456" s="231" t="s">
        <v>26</v>
      </c>
      <c r="C1456" s="215">
        <v>5760</v>
      </c>
      <c r="D1456" s="216">
        <v>3091.32</v>
      </c>
      <c r="E1456" s="236">
        <f>3091.32-D1456</f>
        <v>0</v>
      </c>
      <c r="F1456" s="216">
        <f>D1456+E1456</f>
        <v>3091.32</v>
      </c>
      <c r="G1456" s="228">
        <f>C1456-D1456-E1456</f>
        <v>2668.68</v>
      </c>
    </row>
    <row r="1457" spans="2:13" ht="15.75" thickBot="1" x14ac:dyDescent="0.3">
      <c r="B1457" s="231"/>
      <c r="C1457" s="215"/>
      <c r="D1457" s="234"/>
      <c r="E1457" s="263"/>
      <c r="F1457" s="217"/>
      <c r="G1457" s="215"/>
    </row>
    <row r="1458" spans="2:13" x14ac:dyDescent="0.25">
      <c r="B1458" s="231" t="s">
        <v>27</v>
      </c>
      <c r="C1458" s="215">
        <v>0</v>
      </c>
      <c r="D1458" s="216">
        <v>0</v>
      </c>
      <c r="E1458" s="236">
        <f>0-D1458</f>
        <v>0</v>
      </c>
      <c r="F1458" s="216">
        <f t="shared" ref="F1458" si="63">D1458+E1458</f>
        <v>0</v>
      </c>
      <c r="G1458" s="228">
        <f>C1458-D1458-E1458</f>
        <v>0</v>
      </c>
    </row>
    <row r="1459" spans="2:13" ht="15.75" thickBot="1" x14ac:dyDescent="0.3">
      <c r="B1459" s="231"/>
      <c r="C1459" s="215"/>
      <c r="D1459" s="234"/>
      <c r="E1459" s="263"/>
      <c r="F1459" s="217"/>
      <c r="G1459" s="215"/>
    </row>
    <row r="1460" spans="2:13" ht="30.75" thickBot="1" x14ac:dyDescent="0.3">
      <c r="B1460" s="231" t="s">
        <v>28</v>
      </c>
      <c r="C1460" s="215">
        <v>0</v>
      </c>
      <c r="D1460" s="216">
        <v>0</v>
      </c>
      <c r="E1460" s="236">
        <f>C1460-D1460</f>
        <v>0</v>
      </c>
      <c r="F1460" s="216">
        <f t="shared" ref="F1460" si="64">D1460+E1460</f>
        <v>0</v>
      </c>
      <c r="G1460" s="228">
        <f>C1460-D1460-E1460</f>
        <v>0</v>
      </c>
      <c r="H1460" s="155" t="s">
        <v>67</v>
      </c>
      <c r="I1460" s="154" t="s">
        <v>60</v>
      </c>
      <c r="J1460" s="120" t="s">
        <v>61</v>
      </c>
      <c r="K1460" s="126" t="s">
        <v>66</v>
      </c>
      <c r="L1460" s="143" t="s">
        <v>62</v>
      </c>
      <c r="M1460" s="128" t="s">
        <v>63</v>
      </c>
    </row>
    <row r="1461" spans="2:13" ht="15.75" thickBot="1" x14ac:dyDescent="0.3">
      <c r="B1461" s="232"/>
      <c r="C1461" s="216"/>
      <c r="D1461" s="244"/>
      <c r="E1461" s="264"/>
      <c r="F1461" s="217"/>
      <c r="G1461" s="239"/>
      <c r="H1461" s="58">
        <v>100</v>
      </c>
      <c r="I1461" s="59">
        <f>I1462*100/H1462</f>
        <v>83.291952301973339</v>
      </c>
      <c r="J1461" s="59">
        <f>J1462*100/H1462</f>
        <v>0</v>
      </c>
      <c r="K1461" s="59">
        <f>K1462*100/H1462</f>
        <v>83.291952301973339</v>
      </c>
      <c r="L1461" s="98">
        <f>L1462*100/H1462</f>
        <v>16.708047698026654</v>
      </c>
      <c r="M1461" s="97">
        <f>M1462*100/H1462</f>
        <v>16.708047698026654</v>
      </c>
    </row>
    <row r="1462" spans="2:13" ht="15.75" thickBot="1" x14ac:dyDescent="0.3">
      <c r="B1462" s="14" t="s">
        <v>13</v>
      </c>
      <c r="C1462" s="21">
        <f>SUM(C1454:C1461)</f>
        <v>30134.58</v>
      </c>
      <c r="D1462" s="21">
        <f>SUM(D1454:D1461)</f>
        <v>25099.68</v>
      </c>
      <c r="E1462" s="149">
        <f>SUM(E1454:E1461)</f>
        <v>0</v>
      </c>
      <c r="F1462" s="16">
        <f>SUM(F1454:F1461)</f>
        <v>25099.68</v>
      </c>
      <c r="G1462" s="46">
        <f>C1462-D1462-E1462</f>
        <v>5034.9000000000015</v>
      </c>
      <c r="H1462" s="80">
        <f>+C1462</f>
        <v>30134.58</v>
      </c>
      <c r="I1462" s="82">
        <f>+D1462</f>
        <v>25099.68</v>
      </c>
      <c r="J1462" s="82">
        <f>+E1462</f>
        <v>0</v>
      </c>
      <c r="K1462" s="82">
        <f>I1462+J1462</f>
        <v>25099.68</v>
      </c>
      <c r="L1462" s="95">
        <f>H1462-K1462</f>
        <v>5034.9000000000015</v>
      </c>
      <c r="M1462" s="99">
        <f>H1462-I1462</f>
        <v>5034.9000000000015</v>
      </c>
    </row>
    <row r="1463" spans="2:13" x14ac:dyDescent="0.25">
      <c r="B1463" s="224" t="s">
        <v>29</v>
      </c>
      <c r="C1463" s="234">
        <v>0</v>
      </c>
      <c r="D1463" s="245">
        <v>0</v>
      </c>
      <c r="E1463" s="223">
        <f>0-D1463</f>
        <v>0</v>
      </c>
      <c r="F1463" s="212">
        <f t="shared" ref="F1463" si="65">D1463+E1463</f>
        <v>0</v>
      </c>
      <c r="G1463" s="218">
        <f>C1463-D1463-E1463</f>
        <v>0</v>
      </c>
    </row>
    <row r="1464" spans="2:13" ht="15.75" thickBot="1" x14ac:dyDescent="0.3">
      <c r="B1464" s="214"/>
      <c r="C1464" s="215"/>
      <c r="D1464" s="234"/>
      <c r="E1464" s="213"/>
      <c r="F1464" s="213"/>
      <c r="G1464" s="219"/>
    </row>
    <row r="1465" spans="2:13" x14ac:dyDescent="0.25">
      <c r="B1465" s="214" t="s">
        <v>30</v>
      </c>
      <c r="C1465" s="215">
        <v>0</v>
      </c>
      <c r="D1465" s="216">
        <v>0</v>
      </c>
      <c r="E1465" s="212">
        <f>0-D1465</f>
        <v>0</v>
      </c>
      <c r="F1465" s="212">
        <f t="shared" ref="F1465" si="66">D1465+E1465</f>
        <v>0</v>
      </c>
      <c r="G1465" s="218">
        <f>C1465-D1465-E1465</f>
        <v>0</v>
      </c>
    </row>
    <row r="1466" spans="2:13" ht="15.75" thickBot="1" x14ac:dyDescent="0.3">
      <c r="B1466" s="214"/>
      <c r="C1466" s="215"/>
      <c r="D1466" s="234"/>
      <c r="E1466" s="213"/>
      <c r="F1466" s="213"/>
      <c r="G1466" s="219"/>
    </row>
    <row r="1467" spans="2:13" x14ac:dyDescent="0.25">
      <c r="B1467" s="214" t="s">
        <v>31</v>
      </c>
      <c r="C1467" s="215">
        <v>0</v>
      </c>
      <c r="D1467" s="216">
        <v>0</v>
      </c>
      <c r="E1467" s="212">
        <f>0-D1467</f>
        <v>0</v>
      </c>
      <c r="F1467" s="212">
        <f t="shared" ref="F1467" si="67">D1467+E1467</f>
        <v>0</v>
      </c>
      <c r="G1467" s="218">
        <f>C1467-D1467-E1467</f>
        <v>0</v>
      </c>
    </row>
    <row r="1468" spans="2:13" ht="15.75" thickBot="1" x14ac:dyDescent="0.3">
      <c r="B1468" s="214"/>
      <c r="C1468" s="215"/>
      <c r="D1468" s="234"/>
      <c r="E1468" s="213"/>
      <c r="F1468" s="213"/>
      <c r="G1468" s="219"/>
    </row>
    <row r="1469" spans="2:13" x14ac:dyDescent="0.25">
      <c r="B1469" s="214" t="s">
        <v>32</v>
      </c>
      <c r="C1469" s="215">
        <v>0</v>
      </c>
      <c r="D1469" s="216">
        <v>0</v>
      </c>
      <c r="E1469" s="212">
        <f>0-D1469</f>
        <v>0</v>
      </c>
      <c r="F1469" s="212">
        <f t="shared" ref="F1469" si="68">D1469+E1469</f>
        <v>0</v>
      </c>
      <c r="G1469" s="218">
        <f>C1469-D1469-E1469</f>
        <v>0</v>
      </c>
    </row>
    <row r="1470" spans="2:13" ht="15.75" thickBot="1" x14ac:dyDescent="0.3">
      <c r="B1470" s="214"/>
      <c r="C1470" s="215"/>
      <c r="D1470" s="234"/>
      <c r="E1470" s="213"/>
      <c r="F1470" s="213"/>
      <c r="G1470" s="219"/>
    </row>
    <row r="1471" spans="2:13" x14ac:dyDescent="0.25">
      <c r="B1471" s="214" t="s">
        <v>33</v>
      </c>
      <c r="C1471" s="215">
        <v>0</v>
      </c>
      <c r="D1471" s="216">
        <v>0</v>
      </c>
      <c r="E1471" s="212">
        <f>0-D1471</f>
        <v>0</v>
      </c>
      <c r="F1471" s="212">
        <f t="shared" ref="F1471" si="69">D1471+E1471</f>
        <v>0</v>
      </c>
      <c r="G1471" s="218">
        <f>C1471-D1471-E1471</f>
        <v>0</v>
      </c>
    </row>
    <row r="1472" spans="2:13" ht="15.75" thickBot="1" x14ac:dyDescent="0.3">
      <c r="B1472" s="214"/>
      <c r="C1472" s="215"/>
      <c r="D1472" s="234"/>
      <c r="E1472" s="213"/>
      <c r="F1472" s="213"/>
      <c r="G1472" s="219"/>
    </row>
    <row r="1473" spans="2:13" x14ac:dyDescent="0.25">
      <c r="B1473" s="214" t="s">
        <v>34</v>
      </c>
      <c r="C1473" s="215">
        <v>0</v>
      </c>
      <c r="D1473" s="216">
        <v>0</v>
      </c>
      <c r="E1473" s="212">
        <f>C1473-D1473</f>
        <v>0</v>
      </c>
      <c r="F1473" s="212">
        <f t="shared" ref="F1473" si="70">D1473+E1473</f>
        <v>0</v>
      </c>
      <c r="G1473" s="218">
        <f>C1473-D1473-E1473</f>
        <v>0</v>
      </c>
    </row>
    <row r="1474" spans="2:13" ht="15.75" thickBot="1" x14ac:dyDescent="0.3">
      <c r="B1474" s="214"/>
      <c r="C1474" s="215"/>
      <c r="D1474" s="234"/>
      <c r="E1474" s="213"/>
      <c r="F1474" s="213"/>
      <c r="G1474" s="219"/>
    </row>
    <row r="1475" spans="2:13" x14ac:dyDescent="0.25">
      <c r="B1475" s="214" t="s">
        <v>35</v>
      </c>
      <c r="C1475" s="215">
        <v>0</v>
      </c>
      <c r="D1475" s="216">
        <v>0</v>
      </c>
      <c r="E1475" s="212">
        <f>C1475-D1475</f>
        <v>0</v>
      </c>
      <c r="F1475" s="212">
        <f t="shared" ref="F1475" si="71">D1475+E1475</f>
        <v>0</v>
      </c>
      <c r="G1475" s="218">
        <f>C1475-D1475-E1475</f>
        <v>0</v>
      </c>
    </row>
    <row r="1476" spans="2:13" ht="15.75" thickBot="1" x14ac:dyDescent="0.3">
      <c r="B1476" s="214"/>
      <c r="C1476" s="215"/>
      <c r="D1476" s="234"/>
      <c r="E1476" s="213"/>
      <c r="F1476" s="213"/>
      <c r="G1476" s="219"/>
    </row>
    <row r="1477" spans="2:13" ht="30.75" thickBot="1" x14ac:dyDescent="0.3">
      <c r="B1477" s="214" t="s">
        <v>36</v>
      </c>
      <c r="C1477" s="215">
        <v>0</v>
      </c>
      <c r="D1477" s="216">
        <v>0</v>
      </c>
      <c r="E1477" s="212">
        <f>C1477-D1477</f>
        <v>0</v>
      </c>
      <c r="F1477" s="212">
        <f t="shared" ref="F1477" si="72">D1477+E1477</f>
        <v>0</v>
      </c>
      <c r="G1477" s="218">
        <f>C1477-D1477-E1477</f>
        <v>0</v>
      </c>
      <c r="H1477" s="155" t="s">
        <v>67</v>
      </c>
      <c r="I1477" s="154" t="s">
        <v>60</v>
      </c>
      <c r="J1477" s="120" t="s">
        <v>61</v>
      </c>
      <c r="K1477" s="126" t="s">
        <v>66</v>
      </c>
      <c r="L1477" s="133" t="s">
        <v>62</v>
      </c>
      <c r="M1477" s="137" t="s">
        <v>63</v>
      </c>
    </row>
    <row r="1478" spans="2:13" ht="15.75" thickBot="1" x14ac:dyDescent="0.3">
      <c r="B1478" s="220"/>
      <c r="C1478" s="221"/>
      <c r="D1478" s="244"/>
      <c r="E1478" s="213"/>
      <c r="F1478" s="213"/>
      <c r="G1478" s="219"/>
      <c r="H1478" s="87">
        <v>100</v>
      </c>
      <c r="I1478" s="63">
        <v>0</v>
      </c>
      <c r="J1478" s="63">
        <v>0</v>
      </c>
      <c r="K1478" s="64">
        <v>0</v>
      </c>
      <c r="L1478" s="91">
        <v>0</v>
      </c>
      <c r="M1478" s="142">
        <v>0</v>
      </c>
    </row>
    <row r="1479" spans="2:13" ht="15.75" thickBot="1" x14ac:dyDescent="0.3">
      <c r="B1479" s="14" t="s">
        <v>22</v>
      </c>
      <c r="C1479" s="15">
        <f>SUM(C1463:C1478)</f>
        <v>0</v>
      </c>
      <c r="D1479" s="15">
        <f>SUM(D1463:D1477)</f>
        <v>0</v>
      </c>
      <c r="E1479" s="16">
        <f>SUM(E1463:E1478)</f>
        <v>0</v>
      </c>
      <c r="F1479" s="46">
        <f>D1479+E1479</f>
        <v>0</v>
      </c>
      <c r="G1479" s="46">
        <f>C1479-D1479-E1479</f>
        <v>0</v>
      </c>
      <c r="H1479" s="80">
        <f>K1479+L1479</f>
        <v>0</v>
      </c>
      <c r="I1479" s="81">
        <f>+D1479</f>
        <v>0</v>
      </c>
      <c r="J1479" s="81">
        <f>+E1479</f>
        <v>0</v>
      </c>
      <c r="K1479" s="82">
        <f>+D1479+E1479</f>
        <v>0</v>
      </c>
      <c r="L1479" s="95">
        <f>+G1479</f>
        <v>0</v>
      </c>
      <c r="M1479" s="97">
        <f>H1479-I1479</f>
        <v>0</v>
      </c>
    </row>
    <row r="1480" spans="2:13" ht="15.75" thickBot="1" x14ac:dyDescent="0.3">
      <c r="B1480" s="17" t="s">
        <v>23</v>
      </c>
      <c r="C1480" s="18">
        <f>C1462+C1479</f>
        <v>30134.58</v>
      </c>
      <c r="D1480" s="19">
        <f>D1479+D1462</f>
        <v>25099.68</v>
      </c>
      <c r="E1480" s="20">
        <f>E1462+E1479</f>
        <v>0</v>
      </c>
      <c r="F1480" s="28">
        <f>D1480+E1480</f>
        <v>25099.68</v>
      </c>
      <c r="G1480" s="28">
        <f>C1480-D1480-E1480</f>
        <v>5034.9000000000015</v>
      </c>
      <c r="H1480" s="50">
        <f>+C1480</f>
        <v>30134.58</v>
      </c>
      <c r="I1480" s="51">
        <f>+D1480</f>
        <v>25099.68</v>
      </c>
      <c r="J1480" s="51">
        <f>+E1480</f>
        <v>0</v>
      </c>
      <c r="K1480" s="51">
        <f>I1480+J1480</f>
        <v>25099.68</v>
      </c>
      <c r="L1480" s="100">
        <f>H1480-K1480</f>
        <v>5034.9000000000015</v>
      </c>
      <c r="M1480" s="97">
        <f>H1480-I1480</f>
        <v>5034.9000000000015</v>
      </c>
    </row>
    <row r="1481" spans="2:13" ht="15.75" thickBot="1" x14ac:dyDescent="0.3">
      <c r="B1481" s="12"/>
      <c r="C1481" s="13"/>
      <c r="D1481" s="12"/>
      <c r="E1481" s="12"/>
      <c r="F1481" s="12"/>
      <c r="G1481" s="12"/>
      <c r="H1481" s="129">
        <v>100</v>
      </c>
      <c r="I1481" s="130">
        <f>I1480*100/H1480</f>
        <v>83.291952301973339</v>
      </c>
      <c r="J1481" s="130">
        <f>J1480*100/H1480</f>
        <v>0</v>
      </c>
      <c r="K1481" s="130">
        <f>K1480*100/H1480</f>
        <v>83.291952301973339</v>
      </c>
      <c r="L1481" s="131">
        <f>L1480*100/H1480</f>
        <v>16.708047698026654</v>
      </c>
      <c r="M1481" s="132">
        <f>M1480*100/H1480</f>
        <v>16.708047698026654</v>
      </c>
    </row>
    <row r="1482" spans="2:13" x14ac:dyDescent="0.25">
      <c r="B1482" s="12"/>
      <c r="C1482" s="13"/>
      <c r="D1482" s="12"/>
      <c r="E1482" s="12"/>
      <c r="F1482" s="12"/>
      <c r="G1482" s="12"/>
    </row>
    <row r="1483" spans="2:13" x14ac:dyDescent="0.25">
      <c r="B1483" s="12"/>
      <c r="C1483" s="13"/>
      <c r="D1483" s="12"/>
      <c r="E1483" s="12"/>
      <c r="F1483" s="12"/>
      <c r="G1483" s="12"/>
    </row>
    <row r="1484" spans="2:13" x14ac:dyDescent="0.25">
      <c r="B1484" s="12"/>
      <c r="C1484" s="13"/>
      <c r="D1484" s="12"/>
      <c r="E1484" s="12"/>
      <c r="F1484" s="12"/>
      <c r="G1484" s="12"/>
    </row>
    <row r="1485" spans="2:13" x14ac:dyDescent="0.25">
      <c r="B1485" s="12"/>
      <c r="C1485" s="13"/>
      <c r="D1485" s="12"/>
      <c r="E1485" s="12"/>
      <c r="F1485" s="12"/>
      <c r="G1485" s="12"/>
    </row>
    <row r="1486" spans="2:13" x14ac:dyDescent="0.25">
      <c r="B1486" s="12"/>
      <c r="C1486" s="13"/>
      <c r="D1486" s="12"/>
      <c r="E1486" s="12"/>
      <c r="F1486" s="12"/>
      <c r="G1486" s="12"/>
    </row>
    <row r="1487" spans="2:13" x14ac:dyDescent="0.25">
      <c r="B1487" s="12"/>
      <c r="C1487" s="13"/>
      <c r="D1487" s="12"/>
      <c r="E1487" s="12"/>
      <c r="F1487" s="12"/>
      <c r="G1487" s="12"/>
    </row>
    <row r="1488" spans="2:13" x14ac:dyDescent="0.25">
      <c r="B1488" s="12"/>
      <c r="C1488" s="13"/>
      <c r="D1488" s="12"/>
      <c r="E1488" s="12"/>
      <c r="F1488" s="12"/>
      <c r="G1488" s="12"/>
    </row>
    <row r="1489" spans="2:12" x14ac:dyDescent="0.25">
      <c r="B1489" s="12"/>
      <c r="C1489" s="13"/>
      <c r="D1489" s="12"/>
      <c r="E1489" s="12"/>
      <c r="F1489" s="12"/>
      <c r="G1489" s="12"/>
    </row>
    <row r="1490" spans="2:12" x14ac:dyDescent="0.25">
      <c r="B1490" s="12"/>
      <c r="C1490" s="13"/>
      <c r="D1490" s="12"/>
      <c r="E1490" s="12"/>
      <c r="F1490" s="12"/>
      <c r="G1490" s="12"/>
    </row>
    <row r="1491" spans="2:12" x14ac:dyDescent="0.25">
      <c r="B1491" s="12"/>
      <c r="C1491" s="13"/>
      <c r="D1491" s="12"/>
      <c r="E1491" s="12"/>
      <c r="F1491" s="12"/>
      <c r="G1491" s="12"/>
    </row>
    <row r="1492" spans="2:12" x14ac:dyDescent="0.25">
      <c r="B1492" s="12"/>
      <c r="C1492" s="13"/>
      <c r="D1492" s="12"/>
      <c r="E1492" s="12"/>
      <c r="F1492" s="12"/>
      <c r="G1492" s="12"/>
    </row>
    <row r="1493" spans="2:12" x14ac:dyDescent="0.25">
      <c r="B1493" s="12"/>
      <c r="C1493" s="13"/>
      <c r="D1493" s="12"/>
      <c r="E1493" s="12"/>
      <c r="F1493" s="12"/>
      <c r="G1493" s="12"/>
    </row>
    <row r="1494" spans="2:12" x14ac:dyDescent="0.25">
      <c r="B1494" s="12"/>
      <c r="C1494" s="13"/>
      <c r="D1494" s="12"/>
      <c r="E1494" s="12"/>
      <c r="F1494" s="12"/>
      <c r="G1494" s="12"/>
    </row>
    <row r="1495" spans="2:12" x14ac:dyDescent="0.25">
      <c r="B1495" s="12"/>
      <c r="C1495" s="13"/>
      <c r="D1495" s="12"/>
      <c r="E1495" s="12"/>
      <c r="F1495" s="12"/>
      <c r="G1495" s="12"/>
    </row>
    <row r="1496" spans="2:12" x14ac:dyDescent="0.25">
      <c r="B1496" s="12"/>
      <c r="C1496" s="13"/>
      <c r="D1496" s="12"/>
      <c r="E1496" s="12"/>
      <c r="F1496" s="12"/>
      <c r="G1496" s="12"/>
    </row>
    <row r="1497" spans="2:12" x14ac:dyDescent="0.25">
      <c r="B1497" s="12"/>
      <c r="C1497" s="13"/>
      <c r="D1497" s="12"/>
      <c r="E1497" s="12"/>
      <c r="F1497" s="12"/>
      <c r="G1497" s="12"/>
    </row>
    <row r="1498" spans="2:12" x14ac:dyDescent="0.25">
      <c r="B1498" s="225" t="s">
        <v>0</v>
      </c>
      <c r="C1498" s="225"/>
      <c r="D1498" s="225"/>
      <c r="E1498" s="225"/>
      <c r="F1498" s="225"/>
      <c r="G1498" s="225"/>
    </row>
    <row r="1499" spans="2:12" x14ac:dyDescent="0.25">
      <c r="B1499" s="225" t="s">
        <v>1</v>
      </c>
      <c r="C1499" s="225"/>
      <c r="D1499" s="225"/>
      <c r="E1499" s="225"/>
      <c r="F1499" s="225"/>
      <c r="G1499" s="225"/>
    </row>
    <row r="1500" spans="2:12" x14ac:dyDescent="0.25">
      <c r="B1500" s="225" t="s">
        <v>2</v>
      </c>
      <c r="C1500" s="225"/>
      <c r="D1500" s="225"/>
      <c r="E1500" s="225"/>
      <c r="F1500" s="225"/>
      <c r="G1500" s="225"/>
    </row>
    <row r="1501" spans="2:12" x14ac:dyDescent="0.25">
      <c r="B1501" s="225" t="s">
        <v>44</v>
      </c>
      <c r="C1501" s="225"/>
      <c r="D1501" s="225"/>
      <c r="E1501" s="225"/>
      <c r="F1501" s="225"/>
      <c r="G1501" s="225"/>
    </row>
    <row r="1502" spans="2:12" x14ac:dyDescent="0.25">
      <c r="B1502" s="225" t="s">
        <v>124</v>
      </c>
      <c r="C1502" s="225"/>
      <c r="D1502" s="225"/>
      <c r="E1502" s="225"/>
      <c r="F1502" s="225"/>
      <c r="G1502" s="225"/>
    </row>
    <row r="1503" spans="2:12" ht="15.75" thickBot="1" x14ac:dyDescent="0.3">
      <c r="B1503" s="12"/>
      <c r="C1503" s="13"/>
      <c r="D1503" s="12"/>
      <c r="E1503" s="12"/>
      <c r="F1503" s="12"/>
      <c r="G1503" s="12"/>
    </row>
    <row r="1504" spans="2:12" ht="36.75" thickBot="1" x14ac:dyDescent="0.3">
      <c r="B1504" s="185"/>
      <c r="C1504" s="184" t="s">
        <v>5</v>
      </c>
      <c r="D1504" s="161" t="s">
        <v>72</v>
      </c>
      <c r="E1504" s="172" t="s">
        <v>6</v>
      </c>
      <c r="F1504" s="161" t="s">
        <v>60</v>
      </c>
      <c r="G1504" s="172" t="s">
        <v>7</v>
      </c>
      <c r="H1504" s="180" t="s">
        <v>98</v>
      </c>
      <c r="I1504" s="172" t="s">
        <v>65</v>
      </c>
      <c r="J1504" s="180" t="s">
        <v>99</v>
      </c>
      <c r="K1504" s="177" t="s">
        <v>8</v>
      </c>
      <c r="L1504" s="181" t="s">
        <v>100</v>
      </c>
    </row>
    <row r="1505" spans="2:12" ht="15.75" thickBot="1" x14ac:dyDescent="0.3">
      <c r="B1505" s="194" t="s">
        <v>114</v>
      </c>
      <c r="C1505" s="182">
        <v>30134.58</v>
      </c>
      <c r="D1505" s="174">
        <v>1</v>
      </c>
      <c r="E1505" s="170">
        <v>25099.68</v>
      </c>
      <c r="F1505" s="175">
        <f>E1505/C1505</f>
        <v>0.83291952301973349</v>
      </c>
      <c r="G1505" s="170">
        <v>0</v>
      </c>
      <c r="H1505" s="175">
        <f>G1505/C1505</f>
        <v>0</v>
      </c>
      <c r="I1505" s="170">
        <f>E1505+G1505</f>
        <v>25099.68</v>
      </c>
      <c r="J1505" s="175">
        <f>I1505/C1505</f>
        <v>0.83291952301973349</v>
      </c>
      <c r="K1505" s="189">
        <f>C1505-I1505</f>
        <v>5034.9000000000015</v>
      </c>
      <c r="L1505" s="190">
        <f>K1505/C1505</f>
        <v>0.16708047698026657</v>
      </c>
    </row>
    <row r="1506" spans="2:12" x14ac:dyDescent="0.25">
      <c r="B1506" s="12"/>
      <c r="C1506" s="13"/>
      <c r="D1506" s="12"/>
      <c r="E1506" s="12"/>
      <c r="F1506" s="12"/>
      <c r="G1506" s="12"/>
    </row>
    <row r="1507" spans="2:12" x14ac:dyDescent="0.25">
      <c r="B1507" s="12"/>
      <c r="C1507" s="13"/>
      <c r="D1507" s="12"/>
      <c r="E1507" s="12"/>
      <c r="F1507" s="12"/>
      <c r="G1507" s="12"/>
    </row>
    <row r="1508" spans="2:12" x14ac:dyDescent="0.25">
      <c r="B1508" s="12"/>
      <c r="C1508" s="13"/>
      <c r="D1508" s="12"/>
      <c r="E1508" s="12"/>
      <c r="F1508" s="12"/>
      <c r="G1508" s="12"/>
    </row>
    <row r="1509" spans="2:12" x14ac:dyDescent="0.25">
      <c r="B1509" s="12"/>
      <c r="C1509" s="13"/>
      <c r="D1509" s="12"/>
      <c r="E1509" s="12"/>
      <c r="F1509" s="12"/>
      <c r="G1509" s="12"/>
    </row>
    <row r="1510" spans="2:12" x14ac:dyDescent="0.25">
      <c r="B1510" s="12"/>
      <c r="C1510" s="13"/>
      <c r="D1510" s="12"/>
      <c r="E1510" s="12"/>
      <c r="F1510" s="12"/>
      <c r="G1510" s="12"/>
    </row>
    <row r="1511" spans="2:12" x14ac:dyDescent="0.25">
      <c r="B1511" s="12"/>
      <c r="C1511" s="13"/>
      <c r="D1511" s="12"/>
      <c r="E1511" s="12"/>
      <c r="F1511" s="12"/>
      <c r="G1511" s="12"/>
    </row>
    <row r="1512" spans="2:12" x14ac:dyDescent="0.25">
      <c r="B1512" s="12"/>
      <c r="C1512" s="13"/>
      <c r="D1512" s="12"/>
      <c r="E1512" s="12"/>
      <c r="F1512" s="12"/>
      <c r="G1512" s="12"/>
    </row>
    <row r="1513" spans="2:12" x14ac:dyDescent="0.25">
      <c r="B1513" s="12"/>
      <c r="C1513" s="13"/>
      <c r="D1513" s="12"/>
      <c r="E1513" s="12"/>
      <c r="F1513" s="12"/>
      <c r="G1513" s="12"/>
    </row>
    <row r="1514" spans="2:12" x14ac:dyDescent="0.25">
      <c r="B1514" s="12"/>
      <c r="C1514" s="13"/>
      <c r="D1514" s="12"/>
      <c r="E1514" s="12"/>
      <c r="F1514" s="12"/>
      <c r="G1514" s="12"/>
    </row>
    <row r="1515" spans="2:12" x14ac:dyDescent="0.25">
      <c r="B1515" s="12"/>
      <c r="C1515" s="13"/>
      <c r="D1515" s="12"/>
      <c r="E1515" s="12"/>
      <c r="F1515" s="12"/>
      <c r="G1515" s="12"/>
    </row>
    <row r="1516" spans="2:12" x14ac:dyDescent="0.25">
      <c r="B1516" s="12"/>
      <c r="C1516" s="13"/>
      <c r="D1516" s="12"/>
      <c r="E1516" s="12"/>
      <c r="F1516" s="12"/>
      <c r="G1516" s="12"/>
    </row>
    <row r="1517" spans="2:12" x14ac:dyDescent="0.25">
      <c r="B1517" s="12"/>
      <c r="C1517" s="13"/>
      <c r="D1517" s="12"/>
      <c r="E1517" s="12"/>
      <c r="F1517" s="12"/>
      <c r="G1517" s="12"/>
    </row>
    <row r="1518" spans="2:12" x14ac:dyDescent="0.25">
      <c r="B1518" s="12"/>
      <c r="C1518" s="13"/>
      <c r="D1518" s="12"/>
      <c r="E1518" s="12"/>
      <c r="F1518" s="12"/>
      <c r="G1518" s="12"/>
    </row>
    <row r="1519" spans="2:12" x14ac:dyDescent="0.25">
      <c r="B1519" s="12"/>
      <c r="C1519" s="13"/>
      <c r="D1519" s="12"/>
      <c r="E1519" s="12"/>
      <c r="F1519" s="12"/>
      <c r="G1519" s="12"/>
    </row>
    <row r="1520" spans="2:12" x14ac:dyDescent="0.25">
      <c r="B1520" s="12"/>
      <c r="C1520" s="13"/>
      <c r="D1520" s="12"/>
      <c r="E1520" s="12"/>
      <c r="F1520" s="12"/>
      <c r="G1520" s="12"/>
    </row>
    <row r="1521" spans="2:7" x14ac:dyDescent="0.25">
      <c r="B1521" s="12"/>
      <c r="C1521" s="13"/>
      <c r="D1521" s="12"/>
      <c r="E1521" s="12"/>
      <c r="F1521" s="12"/>
      <c r="G1521" s="12"/>
    </row>
    <row r="1522" spans="2:7" x14ac:dyDescent="0.25">
      <c r="B1522" s="12"/>
      <c r="C1522" s="13"/>
      <c r="D1522" s="12"/>
      <c r="E1522" s="12"/>
      <c r="F1522" s="12"/>
      <c r="G1522" s="12"/>
    </row>
    <row r="1523" spans="2:7" x14ac:dyDescent="0.25">
      <c r="B1523" s="12"/>
      <c r="C1523" s="13"/>
      <c r="D1523" s="12"/>
      <c r="E1523" s="12"/>
      <c r="F1523" s="12"/>
      <c r="G1523" s="12"/>
    </row>
    <row r="1524" spans="2:7" x14ac:dyDescent="0.25">
      <c r="B1524" s="12"/>
      <c r="C1524" s="13"/>
      <c r="D1524" s="12"/>
      <c r="E1524" s="12"/>
      <c r="F1524" s="12"/>
      <c r="G1524" s="12"/>
    </row>
    <row r="1525" spans="2:7" x14ac:dyDescent="0.25">
      <c r="B1525" s="12"/>
      <c r="C1525" s="13"/>
      <c r="D1525" s="12"/>
      <c r="E1525" s="12"/>
      <c r="F1525" s="12"/>
      <c r="G1525" s="12"/>
    </row>
    <row r="1526" spans="2:7" x14ac:dyDescent="0.25">
      <c r="B1526" s="12"/>
      <c r="C1526" s="13"/>
      <c r="D1526" s="12"/>
      <c r="E1526" s="12"/>
      <c r="F1526" s="12"/>
      <c r="G1526" s="12"/>
    </row>
    <row r="1527" spans="2:7" x14ac:dyDescent="0.25">
      <c r="B1527" s="12"/>
      <c r="C1527" s="13"/>
      <c r="D1527" s="12"/>
      <c r="E1527" s="12"/>
      <c r="F1527" s="12"/>
      <c r="G1527" s="12"/>
    </row>
    <row r="1528" spans="2:7" x14ac:dyDescent="0.25">
      <c r="B1528" s="12"/>
      <c r="C1528" s="13"/>
      <c r="D1528" s="12"/>
      <c r="E1528" s="12"/>
      <c r="F1528" s="12"/>
      <c r="G1528" s="12"/>
    </row>
    <row r="1529" spans="2:7" x14ac:dyDescent="0.25">
      <c r="B1529" s="12"/>
      <c r="C1529" s="13"/>
      <c r="D1529" s="12"/>
      <c r="E1529" s="12"/>
      <c r="F1529" s="12"/>
      <c r="G1529" s="12"/>
    </row>
    <row r="1530" spans="2:7" x14ac:dyDescent="0.25">
      <c r="B1530" s="12"/>
      <c r="C1530" s="13"/>
      <c r="D1530" s="12"/>
      <c r="E1530" s="12"/>
      <c r="F1530" s="12"/>
      <c r="G1530" s="12"/>
    </row>
    <row r="1531" spans="2:7" x14ac:dyDescent="0.25">
      <c r="B1531" s="12"/>
      <c r="C1531" s="13"/>
      <c r="D1531" s="12"/>
      <c r="E1531" s="12"/>
      <c r="F1531" s="12"/>
      <c r="G1531" s="12"/>
    </row>
    <row r="1532" spans="2:7" x14ac:dyDescent="0.25">
      <c r="B1532" s="12"/>
      <c r="C1532" s="13"/>
      <c r="D1532" s="12"/>
      <c r="E1532" s="12"/>
      <c r="F1532" s="12"/>
      <c r="G1532" s="12"/>
    </row>
    <row r="1533" spans="2:7" x14ac:dyDescent="0.25">
      <c r="B1533" s="12"/>
      <c r="C1533" s="13"/>
      <c r="D1533" s="12"/>
      <c r="E1533" s="12"/>
      <c r="F1533" s="12"/>
      <c r="G1533" s="12"/>
    </row>
    <row r="1534" spans="2:7" x14ac:dyDescent="0.25">
      <c r="B1534" s="12"/>
      <c r="C1534" s="13"/>
      <c r="D1534" s="12"/>
      <c r="E1534" s="12"/>
      <c r="F1534" s="12"/>
      <c r="G1534" s="12"/>
    </row>
    <row r="1535" spans="2:7" x14ac:dyDescent="0.25">
      <c r="B1535" s="12"/>
      <c r="C1535" s="13"/>
      <c r="D1535" s="12"/>
      <c r="E1535" s="12"/>
      <c r="F1535" s="12"/>
      <c r="G1535" s="12"/>
    </row>
    <row r="1536" spans="2:7" x14ac:dyDescent="0.25">
      <c r="B1536" s="12"/>
      <c r="C1536" s="13"/>
      <c r="D1536" s="12"/>
      <c r="E1536" s="12"/>
      <c r="F1536" s="12"/>
      <c r="G1536" s="12"/>
    </row>
    <row r="1537" spans="2:7" x14ac:dyDescent="0.25">
      <c r="B1537" s="12"/>
      <c r="C1537" s="13"/>
      <c r="D1537" s="12"/>
      <c r="E1537" s="12"/>
      <c r="F1537" s="12"/>
      <c r="G1537" s="12"/>
    </row>
    <row r="1538" spans="2:7" x14ac:dyDescent="0.25">
      <c r="B1538" s="12"/>
      <c r="C1538" s="13"/>
      <c r="D1538" s="12"/>
      <c r="E1538" s="12"/>
      <c r="F1538" s="12"/>
      <c r="G1538" s="12"/>
    </row>
    <row r="1539" spans="2:7" x14ac:dyDescent="0.25">
      <c r="B1539" s="12"/>
      <c r="C1539" s="13"/>
      <c r="D1539" s="12"/>
      <c r="E1539" s="12"/>
      <c r="F1539" s="12"/>
      <c r="G1539" s="12"/>
    </row>
    <row r="1540" spans="2:7" x14ac:dyDescent="0.25">
      <c r="B1540" s="12"/>
      <c r="C1540" s="13"/>
      <c r="D1540" s="12"/>
      <c r="E1540" s="12"/>
      <c r="F1540" s="12"/>
      <c r="G1540" s="12"/>
    </row>
    <row r="1541" spans="2:7" x14ac:dyDescent="0.25">
      <c r="B1541" s="12"/>
      <c r="C1541" s="13"/>
      <c r="D1541" s="12"/>
      <c r="E1541" s="12"/>
      <c r="F1541" s="12"/>
      <c r="G1541" s="12"/>
    </row>
    <row r="1542" spans="2:7" x14ac:dyDescent="0.25">
      <c r="B1542" s="12"/>
      <c r="C1542" s="13"/>
      <c r="D1542" s="12"/>
      <c r="E1542" s="12"/>
      <c r="F1542" s="12"/>
      <c r="G1542" s="12"/>
    </row>
    <row r="1543" spans="2:7" x14ac:dyDescent="0.25">
      <c r="B1543" s="12"/>
      <c r="C1543" s="13"/>
      <c r="D1543" s="12"/>
      <c r="E1543" s="12"/>
      <c r="F1543" s="12"/>
      <c r="G1543" s="12"/>
    </row>
    <row r="1544" spans="2:7" x14ac:dyDescent="0.25">
      <c r="B1544" s="12"/>
      <c r="C1544" s="13"/>
      <c r="D1544" s="12"/>
      <c r="E1544" s="12"/>
      <c r="F1544" s="12"/>
      <c r="G1544" s="12"/>
    </row>
    <row r="1545" spans="2:7" x14ac:dyDescent="0.25">
      <c r="B1545" s="12"/>
      <c r="C1545" s="13"/>
      <c r="D1545" s="12"/>
      <c r="E1545" s="12"/>
      <c r="F1545" s="12"/>
      <c r="G1545" s="12"/>
    </row>
    <row r="1546" spans="2:7" x14ac:dyDescent="0.25">
      <c r="B1546" s="12"/>
      <c r="C1546" s="13"/>
      <c r="D1546" s="12"/>
      <c r="E1546" s="12"/>
      <c r="F1546" s="12"/>
      <c r="G1546" s="12"/>
    </row>
    <row r="1547" spans="2:7" x14ac:dyDescent="0.25">
      <c r="B1547" s="12"/>
      <c r="C1547" s="13"/>
      <c r="D1547" s="12"/>
      <c r="E1547" s="12"/>
      <c r="F1547" s="12"/>
      <c r="G1547" s="12"/>
    </row>
    <row r="1548" spans="2:7" x14ac:dyDescent="0.25">
      <c r="B1548" s="12"/>
      <c r="C1548" s="13"/>
      <c r="D1548" s="12"/>
      <c r="E1548" s="12"/>
      <c r="F1548" s="12"/>
      <c r="G1548" s="12"/>
    </row>
    <row r="1549" spans="2:7" x14ac:dyDescent="0.25">
      <c r="B1549" s="12"/>
      <c r="C1549" s="13"/>
      <c r="D1549" s="12"/>
      <c r="E1549" s="12"/>
      <c r="F1549" s="12"/>
      <c r="G1549" s="12"/>
    </row>
    <row r="1550" spans="2:7" x14ac:dyDescent="0.25">
      <c r="B1550" s="12"/>
      <c r="C1550" s="13"/>
      <c r="D1550" s="12"/>
      <c r="E1550" s="12"/>
      <c r="F1550" s="12"/>
      <c r="G1550" s="12"/>
    </row>
    <row r="1551" spans="2:7" x14ac:dyDescent="0.25">
      <c r="B1551" s="12"/>
      <c r="C1551" s="13"/>
      <c r="D1551" s="12"/>
      <c r="E1551" s="12"/>
      <c r="F1551" s="12"/>
      <c r="G1551" s="12"/>
    </row>
    <row r="1552" spans="2:7" x14ac:dyDescent="0.25">
      <c r="B1552" s="225" t="s">
        <v>0</v>
      </c>
      <c r="C1552" s="225"/>
      <c r="D1552" s="225"/>
      <c r="E1552" s="225"/>
      <c r="F1552" s="225"/>
      <c r="G1552" s="225"/>
    </row>
    <row r="1553" spans="2:13" x14ac:dyDescent="0.25">
      <c r="B1553" s="225" t="s">
        <v>1</v>
      </c>
      <c r="C1553" s="225"/>
      <c r="D1553" s="225"/>
      <c r="E1553" s="225"/>
      <c r="F1553" s="225"/>
      <c r="G1553" s="225"/>
    </row>
    <row r="1554" spans="2:13" x14ac:dyDescent="0.25">
      <c r="B1554" s="225" t="s">
        <v>45</v>
      </c>
      <c r="C1554" s="225"/>
      <c r="D1554" s="225"/>
      <c r="E1554" s="225"/>
      <c r="F1554" s="225"/>
      <c r="G1554" s="225"/>
    </row>
    <row r="1555" spans="2:13" x14ac:dyDescent="0.25">
      <c r="B1555" s="225" t="s">
        <v>46</v>
      </c>
      <c r="C1555" s="225"/>
      <c r="D1555" s="225"/>
      <c r="E1555" s="225"/>
      <c r="F1555" s="225"/>
      <c r="G1555" s="225"/>
    </row>
    <row r="1556" spans="2:13" x14ac:dyDescent="0.25">
      <c r="B1556" s="225" t="s">
        <v>124</v>
      </c>
      <c r="C1556" s="225"/>
      <c r="D1556" s="225"/>
      <c r="E1556" s="225"/>
      <c r="F1556" s="225"/>
      <c r="G1556" s="225"/>
    </row>
    <row r="1557" spans="2:13" x14ac:dyDescent="0.25">
      <c r="B1557" s="159"/>
      <c r="C1557" s="159"/>
      <c r="D1557" s="159"/>
      <c r="E1557" s="159"/>
      <c r="F1557" s="159"/>
      <c r="G1557" s="159"/>
    </row>
    <row r="1558" spans="2:13" ht="15.75" thickBot="1" x14ac:dyDescent="0.3">
      <c r="B1558" s="159"/>
      <c r="C1558" s="159"/>
      <c r="D1558" s="159"/>
      <c r="E1558" s="159"/>
      <c r="F1558" s="159"/>
      <c r="G1558" s="12"/>
    </row>
    <row r="1559" spans="2:13" ht="24.75" thickBot="1" x14ac:dyDescent="0.3">
      <c r="B1559" s="2" t="s">
        <v>4</v>
      </c>
      <c r="C1559" s="3" t="s">
        <v>5</v>
      </c>
      <c r="D1559" s="3" t="s">
        <v>6</v>
      </c>
      <c r="E1559" s="4" t="s">
        <v>7</v>
      </c>
      <c r="F1559" s="3" t="s">
        <v>65</v>
      </c>
      <c r="G1559" s="3" t="s">
        <v>8</v>
      </c>
    </row>
    <row r="1560" spans="2:13" x14ac:dyDescent="0.25">
      <c r="B1560" s="226" t="s">
        <v>25</v>
      </c>
      <c r="C1560" s="228">
        <v>263347.8</v>
      </c>
      <c r="D1560" s="245">
        <v>224437.16</v>
      </c>
      <c r="E1560" s="229">
        <f>229096.65-D1560</f>
        <v>4659.4899999999907</v>
      </c>
      <c r="F1560" s="228">
        <f>D1560+E1560</f>
        <v>229096.65</v>
      </c>
      <c r="G1560" s="228">
        <f>C1560-D1560-E1560</f>
        <v>34251.149999999994</v>
      </c>
    </row>
    <row r="1561" spans="2:13" ht="15.75" thickBot="1" x14ac:dyDescent="0.3">
      <c r="B1561" s="227"/>
      <c r="C1561" s="215"/>
      <c r="D1561" s="234"/>
      <c r="E1561" s="230"/>
      <c r="F1561" s="215"/>
      <c r="G1561" s="215"/>
    </row>
    <row r="1562" spans="2:13" x14ac:dyDescent="0.25">
      <c r="B1562" s="231" t="s">
        <v>26</v>
      </c>
      <c r="C1562" s="215">
        <v>44136.75</v>
      </c>
      <c r="D1562" s="216">
        <v>15298.42</v>
      </c>
      <c r="E1562" s="236">
        <f>16842.32-D1562</f>
        <v>1543.8999999999996</v>
      </c>
      <c r="F1562" s="216">
        <f>D1562+E1562</f>
        <v>16842.32</v>
      </c>
      <c r="G1562" s="228">
        <f>C1562-D1562-E1562</f>
        <v>27294.43</v>
      </c>
    </row>
    <row r="1563" spans="2:13" ht="15.75" thickBot="1" x14ac:dyDescent="0.3">
      <c r="B1563" s="231"/>
      <c r="C1563" s="215"/>
      <c r="D1563" s="234"/>
      <c r="E1563" s="263"/>
      <c r="F1563" s="217"/>
      <c r="G1563" s="215"/>
    </row>
    <row r="1564" spans="2:13" x14ac:dyDescent="0.25">
      <c r="B1564" s="231" t="s">
        <v>27</v>
      </c>
      <c r="C1564" s="215">
        <v>0</v>
      </c>
      <c r="D1564" s="216">
        <v>0</v>
      </c>
      <c r="E1564" s="236">
        <f>0-D1564</f>
        <v>0</v>
      </c>
      <c r="F1564" s="216">
        <f t="shared" ref="F1564" si="73">D1564+E1564</f>
        <v>0</v>
      </c>
      <c r="G1564" s="228">
        <f>C1564-D1564-E1564</f>
        <v>0</v>
      </c>
    </row>
    <row r="1565" spans="2:13" ht="15.75" thickBot="1" x14ac:dyDescent="0.3">
      <c r="B1565" s="231"/>
      <c r="C1565" s="215"/>
      <c r="D1565" s="234"/>
      <c r="E1565" s="263"/>
      <c r="F1565" s="217"/>
      <c r="G1565" s="215"/>
    </row>
    <row r="1566" spans="2:13" ht="30.75" thickBot="1" x14ac:dyDescent="0.3">
      <c r="B1566" s="231" t="s">
        <v>28</v>
      </c>
      <c r="C1566" s="215">
        <v>0</v>
      </c>
      <c r="D1566" s="216">
        <v>0</v>
      </c>
      <c r="E1566" s="236">
        <f>C1566-D1566</f>
        <v>0</v>
      </c>
      <c r="F1566" s="216">
        <f t="shared" ref="F1566" si="74">D1566+E1566</f>
        <v>0</v>
      </c>
      <c r="G1566" s="228">
        <f>C1566-D1566-E1566</f>
        <v>0</v>
      </c>
      <c r="H1566" s="155" t="s">
        <v>67</v>
      </c>
      <c r="I1566" s="154" t="s">
        <v>60</v>
      </c>
      <c r="J1566" s="120" t="s">
        <v>61</v>
      </c>
      <c r="K1566" s="126" t="s">
        <v>66</v>
      </c>
      <c r="L1566" s="133" t="s">
        <v>62</v>
      </c>
      <c r="M1566" s="128" t="s">
        <v>63</v>
      </c>
    </row>
    <row r="1567" spans="2:13" ht="15.75" thickBot="1" x14ac:dyDescent="0.3">
      <c r="B1567" s="232"/>
      <c r="C1567" s="216"/>
      <c r="D1567" s="244"/>
      <c r="E1567" s="264"/>
      <c r="F1567" s="222"/>
      <c r="G1567" s="239"/>
      <c r="H1567" s="58">
        <v>100</v>
      </c>
      <c r="I1567" s="59">
        <f>I1568*100/H1568</f>
        <v>77.966707595552364</v>
      </c>
      <c r="J1567" s="59">
        <f>J1568*100/H1568</f>
        <v>2.01746396688874</v>
      </c>
      <c r="K1567" s="59">
        <f>K1568*100/H1568</f>
        <v>79.984171562441105</v>
      </c>
      <c r="L1567" s="98">
        <f>L1568*100/H1568</f>
        <v>20.015828437558891</v>
      </c>
      <c r="M1567" s="125">
        <f>M1568*100/H1568</f>
        <v>22.033292404447629</v>
      </c>
    </row>
    <row r="1568" spans="2:13" ht="15.75" thickBot="1" x14ac:dyDescent="0.3">
      <c r="B1568" s="14" t="s">
        <v>13</v>
      </c>
      <c r="C1568" s="21">
        <f>SUM(C1560:C1567)</f>
        <v>307484.55</v>
      </c>
      <c r="D1568" s="21">
        <f>SUM(D1560:D1567)</f>
        <v>239735.58000000002</v>
      </c>
      <c r="E1568" s="22">
        <f>SUM(E1560:E1567)</f>
        <v>6203.3899999999903</v>
      </c>
      <c r="F1568" s="22">
        <f>SUM(F1560:F1567)</f>
        <v>245938.97</v>
      </c>
      <c r="G1568" s="46">
        <f>C1568-D1568-E1568</f>
        <v>61545.57999999998</v>
      </c>
      <c r="H1568" s="80">
        <f>+C1568</f>
        <v>307484.55</v>
      </c>
      <c r="I1568" s="82">
        <f>+D1568</f>
        <v>239735.58000000002</v>
      </c>
      <c r="J1568" s="82">
        <f>E1568</f>
        <v>6203.3899999999903</v>
      </c>
      <c r="K1568" s="82">
        <f>I1568+J1568</f>
        <v>245938.97</v>
      </c>
      <c r="L1568" s="95">
        <f>H1568-K1568</f>
        <v>61545.579999999987</v>
      </c>
      <c r="M1568" s="99">
        <f>H1568-I1568</f>
        <v>67748.969999999972</v>
      </c>
    </row>
    <row r="1569" spans="2:13" x14ac:dyDescent="0.25">
      <c r="B1569" s="224" t="s">
        <v>29</v>
      </c>
      <c r="C1569" s="234">
        <v>170476.3</v>
      </c>
      <c r="D1569" s="245">
        <v>128842.23</v>
      </c>
      <c r="E1569" s="223">
        <f>134963.04-D1569</f>
        <v>6120.8100000000122</v>
      </c>
      <c r="F1569" s="212">
        <f t="shared" ref="F1569" si="75">D1569+E1569</f>
        <v>134963.04</v>
      </c>
      <c r="G1569" s="218">
        <f>C1569-D1569-E1569</f>
        <v>35513.25999999998</v>
      </c>
    </row>
    <row r="1570" spans="2:13" ht="15.75" thickBot="1" x14ac:dyDescent="0.3">
      <c r="B1570" s="214"/>
      <c r="C1570" s="215"/>
      <c r="D1570" s="234"/>
      <c r="E1570" s="213"/>
      <c r="F1570" s="213"/>
      <c r="G1570" s="219"/>
    </row>
    <row r="1571" spans="2:13" x14ac:dyDescent="0.25">
      <c r="B1571" s="214" t="s">
        <v>30</v>
      </c>
      <c r="C1571" s="267">
        <v>455891.5</v>
      </c>
      <c r="D1571" s="216">
        <v>331141.5</v>
      </c>
      <c r="E1571" s="268">
        <f>420648.31-D1571</f>
        <v>89506.81</v>
      </c>
      <c r="F1571" s="212">
        <f t="shared" ref="F1571" si="76">D1571+E1571</f>
        <v>420648.31</v>
      </c>
      <c r="G1571" s="218">
        <f>C1571-D1571-E1571</f>
        <v>35243.19</v>
      </c>
    </row>
    <row r="1572" spans="2:13" ht="15.75" thickBot="1" x14ac:dyDescent="0.3">
      <c r="B1572" s="214"/>
      <c r="C1572" s="267"/>
      <c r="D1572" s="234"/>
      <c r="E1572" s="249"/>
      <c r="F1572" s="213"/>
      <c r="G1572" s="219"/>
      <c r="I1572" s="153"/>
    </row>
    <row r="1573" spans="2:13" x14ac:dyDescent="0.25">
      <c r="B1573" s="214" t="s">
        <v>31</v>
      </c>
      <c r="C1573" s="215">
        <v>7000</v>
      </c>
      <c r="D1573" s="216">
        <v>6619.2</v>
      </c>
      <c r="E1573" s="212">
        <f>6619.2-D1573</f>
        <v>0</v>
      </c>
      <c r="F1573" s="212">
        <f t="shared" ref="F1573" si="77">D1573+E1573</f>
        <v>6619.2</v>
      </c>
      <c r="G1573" s="218">
        <f>C1573-D1573-E1573</f>
        <v>380.80000000000018</v>
      </c>
    </row>
    <row r="1574" spans="2:13" ht="15.75" thickBot="1" x14ac:dyDescent="0.3">
      <c r="B1574" s="214"/>
      <c r="C1574" s="215"/>
      <c r="D1574" s="234"/>
      <c r="E1574" s="213"/>
      <c r="F1574" s="213"/>
      <c r="G1574" s="219"/>
    </row>
    <row r="1575" spans="2:13" x14ac:dyDescent="0.25">
      <c r="B1575" s="214" t="s">
        <v>32</v>
      </c>
      <c r="C1575" s="215">
        <v>44960.34</v>
      </c>
      <c r="D1575" s="216">
        <v>9094.52</v>
      </c>
      <c r="E1575" s="212">
        <f>32046.18-D1575</f>
        <v>22951.66</v>
      </c>
      <c r="F1575" s="212">
        <f t="shared" ref="F1575" si="78">D1575+E1575</f>
        <v>32046.18</v>
      </c>
      <c r="G1575" s="218">
        <f>C1575-D1575-E1575</f>
        <v>12914.159999999993</v>
      </c>
    </row>
    <row r="1576" spans="2:13" ht="15.75" thickBot="1" x14ac:dyDescent="0.3">
      <c r="B1576" s="214"/>
      <c r="C1576" s="215"/>
      <c r="D1576" s="234"/>
      <c r="E1576" s="213"/>
      <c r="F1576" s="213"/>
      <c r="G1576" s="219"/>
    </row>
    <row r="1577" spans="2:13" x14ac:dyDescent="0.25">
      <c r="B1577" s="214" t="s">
        <v>33</v>
      </c>
      <c r="C1577" s="215">
        <v>0</v>
      </c>
      <c r="D1577" s="216">
        <v>0</v>
      </c>
      <c r="E1577" s="212">
        <f>0-D1577</f>
        <v>0</v>
      </c>
      <c r="F1577" s="212">
        <f t="shared" ref="F1577" si="79">D1577+E1577</f>
        <v>0</v>
      </c>
      <c r="G1577" s="218">
        <f>C1577-D1577-E1577</f>
        <v>0</v>
      </c>
    </row>
    <row r="1578" spans="2:13" ht="15.75" thickBot="1" x14ac:dyDescent="0.3">
      <c r="B1578" s="214"/>
      <c r="C1578" s="215"/>
      <c r="D1578" s="234"/>
      <c r="E1578" s="213"/>
      <c r="F1578" s="213"/>
      <c r="G1578" s="219"/>
    </row>
    <row r="1579" spans="2:13" x14ac:dyDescent="0.25">
      <c r="B1579" s="214" t="s">
        <v>34</v>
      </c>
      <c r="C1579" s="215">
        <v>0</v>
      </c>
      <c r="D1579" s="216">
        <v>0</v>
      </c>
      <c r="E1579" s="212">
        <f>C1579-D1579</f>
        <v>0</v>
      </c>
      <c r="F1579" s="212">
        <f t="shared" ref="F1579" si="80">D1579+E1579</f>
        <v>0</v>
      </c>
      <c r="G1579" s="218">
        <f>C1579-D1579-E1579</f>
        <v>0</v>
      </c>
    </row>
    <row r="1580" spans="2:13" ht="15.75" thickBot="1" x14ac:dyDescent="0.3">
      <c r="B1580" s="214"/>
      <c r="C1580" s="215"/>
      <c r="D1580" s="234"/>
      <c r="E1580" s="213"/>
      <c r="F1580" s="213"/>
      <c r="G1580" s="219"/>
    </row>
    <row r="1581" spans="2:13" x14ac:dyDescent="0.25">
      <c r="B1581" s="214" t="s">
        <v>35</v>
      </c>
      <c r="C1581" s="215">
        <v>0</v>
      </c>
      <c r="D1581" s="216">
        <v>0</v>
      </c>
      <c r="E1581" s="212">
        <f>C1581-D1581</f>
        <v>0</v>
      </c>
      <c r="F1581" s="212">
        <f t="shared" ref="F1581" si="81">D1581+E1581</f>
        <v>0</v>
      </c>
      <c r="G1581" s="218">
        <f>C1581-D1581-E1581</f>
        <v>0</v>
      </c>
    </row>
    <row r="1582" spans="2:13" ht="15.75" thickBot="1" x14ac:dyDescent="0.3">
      <c r="B1582" s="214"/>
      <c r="C1582" s="215"/>
      <c r="D1582" s="234"/>
      <c r="E1582" s="213"/>
      <c r="F1582" s="213"/>
      <c r="G1582" s="219"/>
    </row>
    <row r="1583" spans="2:13" ht="30.75" thickBot="1" x14ac:dyDescent="0.3">
      <c r="B1583" s="214" t="s">
        <v>36</v>
      </c>
      <c r="C1583" s="215">
        <v>0</v>
      </c>
      <c r="D1583" s="216">
        <v>0</v>
      </c>
      <c r="E1583" s="212">
        <f>C1583-D1583</f>
        <v>0</v>
      </c>
      <c r="F1583" s="212">
        <f t="shared" ref="F1583" si="82">D1583+E1583</f>
        <v>0</v>
      </c>
      <c r="G1583" s="218">
        <f>C1583-D1583-E1583</f>
        <v>0</v>
      </c>
      <c r="H1583" s="155" t="s">
        <v>67</v>
      </c>
      <c r="I1583" s="154" t="s">
        <v>60</v>
      </c>
      <c r="J1583" s="120" t="s">
        <v>61</v>
      </c>
      <c r="K1583" s="126" t="s">
        <v>66</v>
      </c>
      <c r="L1583" s="133" t="s">
        <v>62</v>
      </c>
      <c r="M1583" s="137" t="s">
        <v>63</v>
      </c>
    </row>
    <row r="1584" spans="2:13" ht="15.75" thickBot="1" x14ac:dyDescent="0.3">
      <c r="B1584" s="220"/>
      <c r="C1584" s="221"/>
      <c r="D1584" s="244"/>
      <c r="E1584" s="213"/>
      <c r="F1584" s="213"/>
      <c r="G1584" s="219"/>
      <c r="H1584" s="62">
        <v>100</v>
      </c>
      <c r="I1584" s="63">
        <f>I1585*100/H1585</f>
        <v>70.127925107161261</v>
      </c>
      <c r="J1584" s="63">
        <f>J1585*100/H1585</f>
        <v>17.481108774287325</v>
      </c>
      <c r="K1584" s="64">
        <f>(D1585+E1585)*100/C1585</f>
        <v>87.609033881448582</v>
      </c>
      <c r="L1584" s="91">
        <f>G1585*100/C1585</f>
        <v>12.390966118551411</v>
      </c>
      <c r="M1584" s="112">
        <f>M1585*100/H1585</f>
        <v>29.872074892838736</v>
      </c>
    </row>
    <row r="1585" spans="2:13" ht="15.75" thickBot="1" x14ac:dyDescent="0.3">
      <c r="B1585" s="14" t="s">
        <v>22</v>
      </c>
      <c r="C1585" s="15">
        <f>SUM(C1569:C1584)</f>
        <v>678328.14</v>
      </c>
      <c r="D1585" s="15">
        <f>SUM(D1569:D1584)</f>
        <v>475697.45</v>
      </c>
      <c r="E1585" s="16">
        <f>SUM(E1569:E1584)</f>
        <v>118579.28000000001</v>
      </c>
      <c r="F1585" s="16">
        <f>D1585+E1585</f>
        <v>594276.73</v>
      </c>
      <c r="G1585" s="46">
        <f>C1585-D1585-E1585</f>
        <v>84051.409999999989</v>
      </c>
      <c r="H1585" s="80">
        <f>K1585+L1585</f>
        <v>678328.14</v>
      </c>
      <c r="I1585" s="81">
        <f>+D1585</f>
        <v>475697.45</v>
      </c>
      <c r="J1585" s="81">
        <f>+E1585</f>
        <v>118579.28000000001</v>
      </c>
      <c r="K1585" s="82">
        <f>D1585+E1585</f>
        <v>594276.73</v>
      </c>
      <c r="L1585" s="95">
        <f>+G1585</f>
        <v>84051.409999999989</v>
      </c>
      <c r="M1585" s="97">
        <f>H1585-I1585</f>
        <v>202630.69</v>
      </c>
    </row>
    <row r="1586" spans="2:13" ht="15.75" thickBot="1" x14ac:dyDescent="0.3">
      <c r="B1586" s="17" t="s">
        <v>23</v>
      </c>
      <c r="C1586" s="18">
        <f>C1568+C1585</f>
        <v>985812.69</v>
      </c>
      <c r="D1586" s="19">
        <f>D1585+D1568</f>
        <v>715433.03</v>
      </c>
      <c r="E1586" s="20">
        <f>E1568+E1585</f>
        <v>124782.67</v>
      </c>
      <c r="F1586" s="16">
        <f>D1586+E1586</f>
        <v>840215.70000000007</v>
      </c>
      <c r="G1586" s="28">
        <f>C1586-D1586-E1586</f>
        <v>145596.98999999993</v>
      </c>
      <c r="H1586" s="52">
        <f>+C1586</f>
        <v>985812.69</v>
      </c>
      <c r="I1586" s="53">
        <f>+D1586</f>
        <v>715433.03</v>
      </c>
      <c r="J1586" s="53">
        <f>+E1586</f>
        <v>124782.67</v>
      </c>
      <c r="K1586" s="53">
        <f>I1586+J1586</f>
        <v>840215.70000000007</v>
      </c>
      <c r="L1586" s="110">
        <f>H1586-K1586</f>
        <v>145596.98999999987</v>
      </c>
      <c r="M1586" s="112">
        <f>H1586-I1586</f>
        <v>270379.65999999992</v>
      </c>
    </row>
    <row r="1587" spans="2:13" ht="15.75" thickBot="1" x14ac:dyDescent="0.3">
      <c r="B1587" s="12"/>
      <c r="C1587" s="13"/>
      <c r="D1587" s="12"/>
      <c r="E1587" s="12"/>
      <c r="F1587" s="12"/>
      <c r="G1587" s="12"/>
      <c r="H1587" s="74">
        <v>100</v>
      </c>
      <c r="I1587" s="75">
        <f>I1586*100/H1586</f>
        <v>72.572917477862859</v>
      </c>
      <c r="J1587" s="75">
        <f>J1586*100/H1586</f>
        <v>12.657847810824997</v>
      </c>
      <c r="K1587" s="75">
        <f>K1586*100/H1586</f>
        <v>85.230765288687863</v>
      </c>
      <c r="L1587" s="115">
        <f>L1586*100/H1586</f>
        <v>14.769234711312134</v>
      </c>
      <c r="M1587" s="125">
        <f>M1586*100/H1586</f>
        <v>27.427082522137134</v>
      </c>
    </row>
    <row r="1588" spans="2:13" x14ac:dyDescent="0.25">
      <c r="B1588" s="12"/>
      <c r="C1588" s="13"/>
      <c r="D1588" s="12"/>
      <c r="E1588" s="12"/>
      <c r="F1588" s="12"/>
      <c r="G1588" s="12"/>
    </row>
    <row r="1589" spans="2:13" x14ac:dyDescent="0.25">
      <c r="B1589" s="12"/>
      <c r="C1589" s="13"/>
      <c r="D1589" s="12"/>
      <c r="E1589" s="12"/>
      <c r="F1589" s="12"/>
      <c r="G1589" s="12"/>
    </row>
    <row r="1590" spans="2:13" x14ac:dyDescent="0.25">
      <c r="B1590" s="12"/>
      <c r="C1590" s="13"/>
      <c r="D1590" s="12"/>
      <c r="E1590" s="12"/>
      <c r="F1590" s="12"/>
      <c r="G1590" s="12"/>
    </row>
    <row r="1591" spans="2:13" x14ac:dyDescent="0.25">
      <c r="B1591" s="12"/>
      <c r="C1591" s="13"/>
      <c r="D1591" s="12"/>
      <c r="E1591" s="12"/>
      <c r="F1591" s="12"/>
      <c r="G1591" s="12"/>
    </row>
    <row r="1592" spans="2:13" x14ac:dyDescent="0.25">
      <c r="B1592" s="12"/>
      <c r="C1592" s="13"/>
      <c r="D1592" s="12"/>
      <c r="E1592" s="12"/>
      <c r="F1592" s="12"/>
      <c r="G1592" s="12"/>
    </row>
    <row r="1593" spans="2:13" x14ac:dyDescent="0.25">
      <c r="B1593" s="12"/>
      <c r="C1593" s="13"/>
      <c r="D1593" s="12"/>
      <c r="E1593" s="12"/>
      <c r="F1593" s="12"/>
      <c r="G1593" s="12"/>
    </row>
    <row r="1594" spans="2:13" x14ac:dyDescent="0.25">
      <c r="B1594" s="12"/>
      <c r="C1594" s="13"/>
      <c r="D1594" s="12"/>
      <c r="E1594" s="12"/>
      <c r="F1594" s="12"/>
      <c r="G1594" s="12"/>
    </row>
    <row r="1595" spans="2:13" x14ac:dyDescent="0.25">
      <c r="B1595" s="12"/>
      <c r="C1595" s="13"/>
      <c r="D1595" s="12"/>
      <c r="E1595" s="12"/>
      <c r="F1595" s="12"/>
      <c r="G1595" s="12"/>
    </row>
    <row r="1596" spans="2:13" x14ac:dyDescent="0.25">
      <c r="B1596" s="12"/>
      <c r="C1596" s="13"/>
      <c r="D1596" s="12"/>
      <c r="E1596" s="12"/>
      <c r="F1596" s="12"/>
      <c r="G1596" s="12"/>
    </row>
    <row r="1597" spans="2:13" x14ac:dyDescent="0.25">
      <c r="B1597" s="12"/>
      <c r="C1597" s="13"/>
      <c r="D1597" s="12"/>
      <c r="E1597" s="12"/>
      <c r="F1597" s="12"/>
      <c r="G1597" s="12"/>
    </row>
    <row r="1598" spans="2:13" x14ac:dyDescent="0.25">
      <c r="B1598" s="12"/>
      <c r="C1598" s="13"/>
      <c r="D1598" s="12"/>
      <c r="E1598" s="12"/>
      <c r="F1598" s="12"/>
      <c r="G1598" s="12"/>
    </row>
    <row r="1599" spans="2:13" x14ac:dyDescent="0.25">
      <c r="B1599" s="12"/>
      <c r="C1599" s="13"/>
      <c r="D1599" s="12"/>
      <c r="E1599" s="12"/>
      <c r="F1599" s="12"/>
      <c r="G1599" s="12"/>
    </row>
    <row r="1600" spans="2:13" x14ac:dyDescent="0.25">
      <c r="B1600" s="12"/>
      <c r="C1600" s="13"/>
      <c r="D1600" s="12"/>
      <c r="E1600" s="12"/>
      <c r="F1600" s="12"/>
      <c r="G1600" s="12"/>
    </row>
    <row r="1601" spans="2:12" x14ac:dyDescent="0.25">
      <c r="B1601" s="12"/>
      <c r="C1601" s="13"/>
      <c r="D1601" s="12"/>
      <c r="E1601" s="12"/>
      <c r="F1601" s="12"/>
      <c r="G1601" s="12"/>
    </row>
    <row r="1602" spans="2:12" x14ac:dyDescent="0.25">
      <c r="B1602" s="12"/>
      <c r="C1602" s="13"/>
      <c r="D1602" s="12"/>
      <c r="E1602" s="12"/>
      <c r="F1602" s="12"/>
      <c r="G1602" s="12"/>
    </row>
    <row r="1603" spans="2:12" x14ac:dyDescent="0.25">
      <c r="B1603" s="12"/>
      <c r="C1603" s="13"/>
      <c r="D1603" s="12"/>
      <c r="E1603" s="12"/>
      <c r="F1603" s="12"/>
      <c r="G1603" s="12"/>
    </row>
    <row r="1604" spans="2:12" x14ac:dyDescent="0.25">
      <c r="B1604" s="225" t="s">
        <v>0</v>
      </c>
      <c r="C1604" s="225"/>
      <c r="D1604" s="225"/>
      <c r="E1604" s="225"/>
      <c r="F1604" s="225"/>
      <c r="G1604" s="225"/>
    </row>
    <row r="1605" spans="2:12" x14ac:dyDescent="0.25">
      <c r="B1605" s="225" t="s">
        <v>1</v>
      </c>
      <c r="C1605" s="225"/>
      <c r="D1605" s="225"/>
      <c r="E1605" s="225"/>
      <c r="F1605" s="225"/>
      <c r="G1605" s="225"/>
    </row>
    <row r="1606" spans="2:12" x14ac:dyDescent="0.25">
      <c r="B1606" s="225" t="s">
        <v>45</v>
      </c>
      <c r="C1606" s="225"/>
      <c r="D1606" s="225"/>
      <c r="E1606" s="225"/>
      <c r="F1606" s="225"/>
      <c r="G1606" s="225"/>
    </row>
    <row r="1607" spans="2:12" x14ac:dyDescent="0.25">
      <c r="B1607" s="225" t="s">
        <v>46</v>
      </c>
      <c r="C1607" s="225"/>
      <c r="D1607" s="225"/>
      <c r="E1607" s="225"/>
      <c r="F1607" s="225"/>
      <c r="G1607" s="225"/>
    </row>
    <row r="1608" spans="2:12" x14ac:dyDescent="0.25">
      <c r="B1608" s="225" t="s">
        <v>124</v>
      </c>
      <c r="C1608" s="225"/>
      <c r="D1608" s="225"/>
      <c r="E1608" s="225"/>
      <c r="F1608" s="225"/>
      <c r="G1608" s="225"/>
    </row>
    <row r="1609" spans="2:12" ht="15.75" thickBot="1" x14ac:dyDescent="0.3">
      <c r="B1609" s="12"/>
      <c r="C1609" s="13"/>
      <c r="D1609" s="12"/>
      <c r="E1609" s="12"/>
      <c r="F1609" s="12"/>
      <c r="G1609" s="12"/>
    </row>
    <row r="1610" spans="2:12" ht="36.75" thickBot="1" x14ac:dyDescent="0.3">
      <c r="B1610" s="185"/>
      <c r="C1610" s="184" t="s">
        <v>5</v>
      </c>
      <c r="D1610" s="161" t="s">
        <v>72</v>
      </c>
      <c r="E1610" s="172" t="s">
        <v>6</v>
      </c>
      <c r="F1610" s="161" t="s">
        <v>60</v>
      </c>
      <c r="G1610" s="172" t="s">
        <v>7</v>
      </c>
      <c r="H1610" s="180" t="s">
        <v>98</v>
      </c>
      <c r="I1610" s="172" t="s">
        <v>65</v>
      </c>
      <c r="J1610" s="180" t="s">
        <v>99</v>
      </c>
      <c r="K1610" s="177" t="s">
        <v>8</v>
      </c>
      <c r="L1610" s="181" t="s">
        <v>100</v>
      </c>
    </row>
    <row r="1611" spans="2:12" ht="30.75" thickBot="1" x14ac:dyDescent="0.3">
      <c r="B1611" s="186" t="s">
        <v>113</v>
      </c>
      <c r="C1611" s="182">
        <v>985812.69</v>
      </c>
      <c r="D1611" s="174">
        <v>1</v>
      </c>
      <c r="E1611" s="170">
        <v>715433.03</v>
      </c>
      <c r="F1611" s="175">
        <f>E1611/C1611</f>
        <v>0.72572917477862864</v>
      </c>
      <c r="G1611" s="170">
        <v>124782.67</v>
      </c>
      <c r="H1611" s="175">
        <f>G1611/C1611</f>
        <v>0.12657847810824996</v>
      </c>
      <c r="I1611" s="170">
        <f>E1611+G1611</f>
        <v>840215.70000000007</v>
      </c>
      <c r="J1611" s="175">
        <f>I1611/C1611</f>
        <v>0.85230765288687871</v>
      </c>
      <c r="K1611" s="189">
        <f>C1611-I1611</f>
        <v>145596.98999999987</v>
      </c>
      <c r="L1611" s="190">
        <f>K1611/C1611</f>
        <v>0.14769234711312135</v>
      </c>
    </row>
    <row r="1612" spans="2:12" x14ac:dyDescent="0.25">
      <c r="B1612" s="12"/>
      <c r="C1612" s="13"/>
      <c r="D1612" s="12"/>
      <c r="E1612" s="12"/>
      <c r="F1612" s="12"/>
      <c r="G1612" s="12"/>
    </row>
    <row r="1613" spans="2:12" x14ac:dyDescent="0.25">
      <c r="B1613" s="12"/>
      <c r="C1613" s="13"/>
      <c r="D1613" s="12"/>
      <c r="E1613" s="12"/>
      <c r="F1613" s="12"/>
      <c r="G1613" s="12"/>
    </row>
    <row r="1614" spans="2:12" x14ac:dyDescent="0.25">
      <c r="B1614" s="12"/>
      <c r="C1614" s="13"/>
      <c r="D1614" s="12"/>
      <c r="E1614" s="12"/>
      <c r="F1614" s="12"/>
      <c r="G1614" s="12"/>
    </row>
    <row r="1615" spans="2:12" x14ac:dyDescent="0.25">
      <c r="B1615" s="12"/>
      <c r="C1615" s="13"/>
      <c r="D1615" s="12"/>
      <c r="E1615" s="12"/>
      <c r="F1615" s="12"/>
      <c r="G1615" s="12"/>
    </row>
    <row r="1616" spans="2:12" x14ac:dyDescent="0.25">
      <c r="B1616" s="12"/>
      <c r="C1616" s="13"/>
      <c r="D1616" s="12"/>
      <c r="E1616" s="12"/>
      <c r="F1616" s="12"/>
      <c r="G1616" s="12"/>
    </row>
    <row r="1617" spans="2:7" x14ac:dyDescent="0.25">
      <c r="B1617" s="12"/>
      <c r="C1617" s="13"/>
      <c r="D1617" s="12"/>
      <c r="E1617" s="12"/>
      <c r="F1617" s="12"/>
      <c r="G1617" s="12"/>
    </row>
    <row r="1618" spans="2:7" x14ac:dyDescent="0.25">
      <c r="B1618" s="12"/>
      <c r="C1618" s="13"/>
      <c r="D1618" s="12"/>
      <c r="E1618" s="12"/>
      <c r="F1618" s="12"/>
      <c r="G1618" s="12"/>
    </row>
    <row r="1619" spans="2:7" x14ac:dyDescent="0.25">
      <c r="B1619" s="12"/>
      <c r="C1619" s="13"/>
      <c r="D1619" s="12"/>
      <c r="E1619" s="12"/>
      <c r="F1619" s="12"/>
      <c r="G1619" s="12"/>
    </row>
    <row r="1620" spans="2:7" x14ac:dyDescent="0.25">
      <c r="B1620" s="12"/>
      <c r="C1620" s="13"/>
      <c r="D1620" s="12"/>
      <c r="E1620" s="12"/>
      <c r="F1620" s="12"/>
      <c r="G1620" s="12"/>
    </row>
    <row r="1621" spans="2:7" x14ac:dyDescent="0.25">
      <c r="B1621" s="12"/>
      <c r="C1621" s="13"/>
      <c r="D1621" s="12"/>
      <c r="E1621" s="12"/>
      <c r="F1621" s="12"/>
      <c r="G1621" s="12"/>
    </row>
    <row r="1622" spans="2:7" x14ac:dyDescent="0.25">
      <c r="B1622" s="12"/>
      <c r="C1622" s="13"/>
      <c r="D1622" s="12"/>
      <c r="E1622" s="12"/>
      <c r="F1622" s="12"/>
      <c r="G1622" s="12"/>
    </row>
    <row r="1623" spans="2:7" x14ac:dyDescent="0.25">
      <c r="B1623" s="12"/>
      <c r="C1623" s="13"/>
      <c r="D1623" s="12"/>
      <c r="E1623" s="12"/>
      <c r="F1623" s="12"/>
      <c r="G1623" s="12"/>
    </row>
    <row r="1624" spans="2:7" x14ac:dyDescent="0.25">
      <c r="B1624" s="12"/>
      <c r="C1624" s="13"/>
      <c r="D1624" s="12"/>
      <c r="E1624" s="12"/>
      <c r="F1624" s="12"/>
      <c r="G1624" s="12"/>
    </row>
    <row r="1625" spans="2:7" x14ac:dyDescent="0.25">
      <c r="B1625" s="12"/>
      <c r="C1625" s="13"/>
      <c r="D1625" s="12"/>
      <c r="E1625" s="12"/>
      <c r="F1625" s="12"/>
      <c r="G1625" s="12"/>
    </row>
    <row r="1626" spans="2:7" x14ac:dyDescent="0.25">
      <c r="B1626" s="12"/>
      <c r="C1626" s="13"/>
      <c r="D1626" s="12"/>
      <c r="E1626" s="12"/>
      <c r="F1626" s="12"/>
      <c r="G1626" s="12"/>
    </row>
    <row r="1627" spans="2:7" x14ac:dyDescent="0.25">
      <c r="B1627" s="12"/>
      <c r="C1627" s="13"/>
      <c r="D1627" s="12"/>
      <c r="E1627" s="12"/>
      <c r="F1627" s="12"/>
      <c r="G1627" s="12"/>
    </row>
    <row r="1628" spans="2:7" x14ac:dyDescent="0.25">
      <c r="B1628" s="12"/>
      <c r="C1628" s="13"/>
      <c r="D1628" s="12"/>
      <c r="E1628" s="12"/>
      <c r="F1628" s="12"/>
      <c r="G1628" s="12"/>
    </row>
    <row r="1629" spans="2:7" x14ac:dyDescent="0.25">
      <c r="B1629" s="12"/>
      <c r="C1629" s="13"/>
      <c r="D1629" s="12"/>
      <c r="E1629" s="12"/>
      <c r="F1629" s="12"/>
      <c r="G1629" s="12"/>
    </row>
    <row r="1630" spans="2:7" x14ac:dyDescent="0.25">
      <c r="B1630" s="12"/>
      <c r="C1630" s="13"/>
      <c r="D1630" s="12"/>
      <c r="E1630" s="12"/>
      <c r="F1630" s="12"/>
      <c r="G1630" s="12"/>
    </row>
    <row r="1631" spans="2:7" x14ac:dyDescent="0.25">
      <c r="B1631" s="12"/>
      <c r="C1631" s="13"/>
      <c r="D1631" s="12"/>
      <c r="E1631" s="12"/>
      <c r="F1631" s="12"/>
      <c r="G1631" s="12"/>
    </row>
    <row r="1632" spans="2:7" x14ac:dyDescent="0.25">
      <c r="B1632" s="12"/>
      <c r="C1632" s="13"/>
      <c r="D1632" s="12"/>
      <c r="E1632" s="12"/>
      <c r="F1632" s="12"/>
      <c r="G1632" s="12"/>
    </row>
    <row r="1633" spans="2:7" x14ac:dyDescent="0.25">
      <c r="B1633" s="12"/>
      <c r="C1633" s="13"/>
      <c r="D1633" s="12"/>
      <c r="E1633" s="12"/>
      <c r="F1633" s="12"/>
      <c r="G1633" s="12"/>
    </row>
    <row r="1634" spans="2:7" x14ac:dyDescent="0.25">
      <c r="B1634" s="12"/>
      <c r="C1634" s="13"/>
      <c r="D1634" s="12"/>
      <c r="E1634" s="12"/>
      <c r="F1634" s="12"/>
      <c r="G1634" s="12"/>
    </row>
    <row r="1635" spans="2:7" x14ac:dyDescent="0.25">
      <c r="B1635" s="12"/>
      <c r="C1635" s="13"/>
      <c r="D1635" s="12"/>
      <c r="E1635" s="12"/>
      <c r="F1635" s="12"/>
      <c r="G1635" s="12"/>
    </row>
    <row r="1636" spans="2:7" x14ac:dyDescent="0.25">
      <c r="B1636" s="12"/>
      <c r="C1636" s="13"/>
      <c r="D1636" s="12"/>
      <c r="E1636" s="12"/>
      <c r="F1636" s="12"/>
      <c r="G1636" s="12"/>
    </row>
    <row r="1637" spans="2:7" x14ac:dyDescent="0.25">
      <c r="B1637" s="12"/>
      <c r="C1637" s="13"/>
      <c r="D1637" s="12"/>
      <c r="E1637" s="12"/>
      <c r="F1637" s="12"/>
      <c r="G1637" s="12"/>
    </row>
    <row r="1638" spans="2:7" x14ac:dyDescent="0.25">
      <c r="B1638" s="12"/>
      <c r="C1638" s="13"/>
      <c r="D1638" s="12"/>
      <c r="E1638" s="12"/>
      <c r="F1638" s="12"/>
      <c r="G1638" s="12"/>
    </row>
    <row r="1639" spans="2:7" x14ac:dyDescent="0.25">
      <c r="B1639" s="12"/>
      <c r="C1639" s="13"/>
      <c r="D1639" s="12"/>
      <c r="E1639" s="12"/>
      <c r="F1639" s="12"/>
      <c r="G1639" s="12"/>
    </row>
    <row r="1640" spans="2:7" x14ac:dyDescent="0.25">
      <c r="B1640" s="12"/>
      <c r="C1640" s="13"/>
      <c r="D1640" s="12"/>
      <c r="E1640" s="12"/>
      <c r="F1640" s="12"/>
      <c r="G1640" s="12"/>
    </row>
    <row r="1641" spans="2:7" x14ac:dyDescent="0.25">
      <c r="B1641" s="12"/>
      <c r="C1641" s="13"/>
      <c r="D1641" s="12"/>
      <c r="E1641" s="12"/>
      <c r="F1641" s="12"/>
      <c r="G1641" s="12"/>
    </row>
    <row r="1642" spans="2:7" x14ac:dyDescent="0.25">
      <c r="B1642" s="12"/>
      <c r="C1642" s="13"/>
      <c r="D1642" s="12"/>
      <c r="E1642" s="12"/>
      <c r="F1642" s="12"/>
      <c r="G1642" s="12"/>
    </row>
    <row r="1643" spans="2:7" x14ac:dyDescent="0.25">
      <c r="B1643" s="12"/>
      <c r="C1643" s="13"/>
      <c r="D1643" s="12"/>
      <c r="E1643" s="12"/>
      <c r="F1643" s="12"/>
      <c r="G1643" s="12"/>
    </row>
    <row r="1644" spans="2:7" x14ac:dyDescent="0.25">
      <c r="B1644" s="12"/>
      <c r="C1644" s="13"/>
      <c r="D1644" s="12"/>
      <c r="E1644" s="12"/>
      <c r="F1644" s="12"/>
      <c r="G1644" s="12"/>
    </row>
    <row r="1645" spans="2:7" x14ac:dyDescent="0.25">
      <c r="B1645" s="12"/>
      <c r="C1645" s="13"/>
      <c r="D1645" s="12"/>
      <c r="E1645" s="12"/>
      <c r="F1645" s="12"/>
      <c r="G1645" s="12"/>
    </row>
    <row r="1646" spans="2:7" x14ac:dyDescent="0.25">
      <c r="B1646" s="12"/>
      <c r="C1646" s="13"/>
      <c r="D1646" s="12"/>
      <c r="E1646" s="12"/>
      <c r="F1646" s="12"/>
      <c r="G1646" s="12"/>
    </row>
    <row r="1647" spans="2:7" x14ac:dyDescent="0.25">
      <c r="B1647" s="12"/>
      <c r="C1647" s="13"/>
      <c r="D1647" s="12"/>
      <c r="E1647" s="12"/>
      <c r="F1647" s="12"/>
      <c r="G1647" s="12"/>
    </row>
    <row r="1648" spans="2:7" x14ac:dyDescent="0.25">
      <c r="B1648" s="12"/>
      <c r="C1648" s="13"/>
      <c r="D1648" s="12"/>
      <c r="E1648" s="12"/>
      <c r="F1648" s="12"/>
      <c r="G1648" s="12"/>
    </row>
    <row r="1649" spans="2:7" x14ac:dyDescent="0.25">
      <c r="B1649" s="12"/>
      <c r="C1649" s="13"/>
      <c r="D1649" s="12"/>
      <c r="E1649" s="12"/>
      <c r="F1649" s="12"/>
      <c r="G1649" s="12"/>
    </row>
    <row r="1650" spans="2:7" x14ac:dyDescent="0.25">
      <c r="B1650" s="12"/>
      <c r="C1650" s="13"/>
      <c r="D1650" s="12"/>
      <c r="E1650" s="12"/>
      <c r="F1650" s="12"/>
      <c r="G1650" s="12"/>
    </row>
    <row r="1651" spans="2:7" x14ac:dyDescent="0.25">
      <c r="B1651" s="12"/>
      <c r="C1651" s="13"/>
      <c r="D1651" s="12"/>
      <c r="E1651" s="12"/>
      <c r="F1651" s="12"/>
      <c r="G1651" s="12"/>
    </row>
    <row r="1652" spans="2:7" x14ac:dyDescent="0.25">
      <c r="B1652" s="12"/>
      <c r="C1652" s="13"/>
      <c r="D1652" s="12"/>
      <c r="E1652" s="12"/>
      <c r="F1652" s="12"/>
      <c r="G1652" s="12"/>
    </row>
    <row r="1653" spans="2:7" x14ac:dyDescent="0.25">
      <c r="B1653" s="12"/>
      <c r="C1653" s="13"/>
      <c r="D1653" s="12"/>
      <c r="E1653" s="12"/>
      <c r="F1653" s="12"/>
      <c r="G1653" s="12"/>
    </row>
    <row r="1654" spans="2:7" x14ac:dyDescent="0.25">
      <c r="B1654" s="12"/>
      <c r="C1654" s="13"/>
      <c r="D1654" s="12"/>
      <c r="E1654" s="12"/>
      <c r="F1654" s="12"/>
      <c r="G1654" s="12"/>
    </row>
    <row r="1655" spans="2:7" x14ac:dyDescent="0.25">
      <c r="B1655" s="12"/>
      <c r="C1655" s="13"/>
      <c r="D1655" s="12"/>
      <c r="E1655" s="12"/>
      <c r="F1655" s="12"/>
      <c r="G1655" s="12"/>
    </row>
    <row r="1656" spans="2:7" x14ac:dyDescent="0.25">
      <c r="B1656" s="12"/>
      <c r="C1656" s="13"/>
      <c r="D1656" s="12"/>
      <c r="E1656" s="12"/>
      <c r="F1656" s="12"/>
      <c r="G1656" s="12"/>
    </row>
    <row r="1657" spans="2:7" x14ac:dyDescent="0.25">
      <c r="B1657" s="225" t="s">
        <v>0</v>
      </c>
      <c r="C1657" s="225"/>
      <c r="D1657" s="225"/>
      <c r="E1657" s="225"/>
      <c r="F1657" s="225"/>
      <c r="G1657" s="225"/>
    </row>
    <row r="1658" spans="2:7" x14ac:dyDescent="0.25">
      <c r="B1658" s="225" t="s">
        <v>1</v>
      </c>
      <c r="C1658" s="225"/>
      <c r="D1658" s="225"/>
      <c r="E1658" s="225"/>
      <c r="F1658" s="225"/>
      <c r="G1658" s="225"/>
    </row>
    <row r="1659" spans="2:7" x14ac:dyDescent="0.25">
      <c r="B1659" s="225" t="s">
        <v>45</v>
      </c>
      <c r="C1659" s="225"/>
      <c r="D1659" s="225"/>
      <c r="E1659" s="225"/>
      <c r="F1659" s="225"/>
      <c r="G1659" s="225"/>
    </row>
    <row r="1660" spans="2:7" x14ac:dyDescent="0.25">
      <c r="B1660" s="225" t="s">
        <v>47</v>
      </c>
      <c r="C1660" s="225"/>
      <c r="D1660" s="225"/>
      <c r="E1660" s="225"/>
      <c r="F1660" s="225"/>
      <c r="G1660" s="225"/>
    </row>
    <row r="1661" spans="2:7" x14ac:dyDescent="0.25">
      <c r="B1661" s="225" t="s">
        <v>124</v>
      </c>
      <c r="C1661" s="225"/>
      <c r="D1661" s="225"/>
      <c r="E1661" s="225"/>
      <c r="F1661" s="225"/>
      <c r="G1661" s="225"/>
    </row>
    <row r="1662" spans="2:7" x14ac:dyDescent="0.25">
      <c r="B1662" s="159"/>
      <c r="C1662" s="159"/>
      <c r="D1662" s="159"/>
      <c r="E1662" s="159"/>
      <c r="F1662" s="159"/>
      <c r="G1662" s="159"/>
    </row>
    <row r="1663" spans="2:7" ht="15.75" thickBot="1" x14ac:dyDescent="0.3">
      <c r="B1663" s="159"/>
      <c r="C1663" s="159"/>
      <c r="D1663" s="159"/>
      <c r="E1663" s="159"/>
      <c r="F1663" s="159"/>
      <c r="G1663" s="12"/>
    </row>
    <row r="1664" spans="2:7" ht="24.75" thickBot="1" x14ac:dyDescent="0.3">
      <c r="B1664" s="2" t="s">
        <v>4</v>
      </c>
      <c r="C1664" s="3" t="s">
        <v>5</v>
      </c>
      <c r="D1664" s="3" t="s">
        <v>6</v>
      </c>
      <c r="E1664" s="4" t="s">
        <v>7</v>
      </c>
      <c r="F1664" s="3" t="s">
        <v>65</v>
      </c>
      <c r="G1664" s="3" t="s">
        <v>8</v>
      </c>
    </row>
    <row r="1665" spans="2:13" x14ac:dyDescent="0.25">
      <c r="B1665" s="226" t="s">
        <v>25</v>
      </c>
      <c r="C1665" s="228">
        <v>54777.2</v>
      </c>
      <c r="D1665" s="245">
        <v>32059.34</v>
      </c>
      <c r="E1665" s="229">
        <f>33610.58-D1665</f>
        <v>1551.2400000000016</v>
      </c>
      <c r="F1665" s="229">
        <f>D1665+E1665</f>
        <v>33610.58</v>
      </c>
      <c r="G1665" s="228">
        <f>C1665-D1665-E1665</f>
        <v>21166.619999999995</v>
      </c>
    </row>
    <row r="1666" spans="2:13" ht="15.75" thickBot="1" x14ac:dyDescent="0.3">
      <c r="B1666" s="227"/>
      <c r="C1666" s="215"/>
      <c r="D1666" s="234"/>
      <c r="E1666" s="230"/>
      <c r="F1666" s="230"/>
      <c r="G1666" s="215"/>
    </row>
    <row r="1667" spans="2:13" x14ac:dyDescent="0.25">
      <c r="B1667" s="231" t="s">
        <v>26</v>
      </c>
      <c r="C1667" s="215">
        <v>21420</v>
      </c>
      <c r="D1667" s="216">
        <v>1417.32</v>
      </c>
      <c r="E1667" s="212">
        <f>1417.32-D1667</f>
        <v>0</v>
      </c>
      <c r="F1667" s="212">
        <f>D1667+E1667</f>
        <v>1417.32</v>
      </c>
      <c r="G1667" s="228">
        <f>C1667-D1667-E1667</f>
        <v>20002.68</v>
      </c>
    </row>
    <row r="1668" spans="2:13" ht="15.75" thickBot="1" x14ac:dyDescent="0.3">
      <c r="B1668" s="231"/>
      <c r="C1668" s="215"/>
      <c r="D1668" s="234"/>
      <c r="E1668" s="213"/>
      <c r="F1668" s="213"/>
      <c r="G1668" s="215"/>
    </row>
    <row r="1669" spans="2:13" x14ac:dyDescent="0.25">
      <c r="B1669" s="231" t="s">
        <v>27</v>
      </c>
      <c r="C1669" s="215">
        <v>0</v>
      </c>
      <c r="D1669" s="216">
        <v>0</v>
      </c>
      <c r="E1669" s="212">
        <f>0-D1669</f>
        <v>0</v>
      </c>
      <c r="F1669" s="212">
        <f t="shared" ref="F1669" si="83">D1669+E1669</f>
        <v>0</v>
      </c>
      <c r="G1669" s="228">
        <f>C1669-D1669-E1669</f>
        <v>0</v>
      </c>
    </row>
    <row r="1670" spans="2:13" ht="15.75" thickBot="1" x14ac:dyDescent="0.3">
      <c r="B1670" s="231"/>
      <c r="C1670" s="215"/>
      <c r="D1670" s="234"/>
      <c r="E1670" s="213"/>
      <c r="F1670" s="213"/>
      <c r="G1670" s="215"/>
    </row>
    <row r="1671" spans="2:13" ht="30.75" thickBot="1" x14ac:dyDescent="0.3">
      <c r="B1671" s="231" t="s">
        <v>28</v>
      </c>
      <c r="C1671" s="215">
        <v>0</v>
      </c>
      <c r="D1671" s="216">
        <v>0</v>
      </c>
      <c r="E1671" s="212">
        <f>C1671-D1671</f>
        <v>0</v>
      </c>
      <c r="F1671" s="212">
        <f t="shared" ref="F1671" si="84">D1671+E1671</f>
        <v>0</v>
      </c>
      <c r="G1671" s="228">
        <f>C1671-D1671-E1671</f>
        <v>0</v>
      </c>
      <c r="H1671" s="155" t="s">
        <v>67</v>
      </c>
      <c r="I1671" s="154" t="s">
        <v>60</v>
      </c>
      <c r="J1671" s="120" t="s">
        <v>61</v>
      </c>
      <c r="K1671" s="126" t="s">
        <v>66</v>
      </c>
      <c r="L1671" s="133" t="s">
        <v>62</v>
      </c>
      <c r="M1671" s="128" t="s">
        <v>63</v>
      </c>
    </row>
    <row r="1672" spans="2:13" ht="15.75" thickBot="1" x14ac:dyDescent="0.3">
      <c r="B1672" s="232"/>
      <c r="C1672" s="216"/>
      <c r="D1672" s="244"/>
      <c r="E1672" s="233"/>
      <c r="F1672" s="213"/>
      <c r="G1672" s="239"/>
      <c r="H1672" s="58">
        <v>100</v>
      </c>
      <c r="I1672" s="59">
        <f>I1673*100/H1673</f>
        <v>43.934239053403545</v>
      </c>
      <c r="J1672" s="59">
        <f>J1673*100/H1673</f>
        <v>2.035822838634493</v>
      </c>
      <c r="K1672" s="59">
        <f>K1673*100/H1673</f>
        <v>45.970061892038039</v>
      </c>
      <c r="L1672" s="98">
        <f>L1673*100/H1673</f>
        <v>54.029938107961961</v>
      </c>
      <c r="M1672" s="97">
        <f>M1673*100/H1673</f>
        <v>56.065760946596455</v>
      </c>
    </row>
    <row r="1673" spans="2:13" ht="15.75" thickBot="1" x14ac:dyDescent="0.3">
      <c r="B1673" s="14" t="s">
        <v>13</v>
      </c>
      <c r="C1673" s="21">
        <f>SUM(C1665:C1672)</f>
        <v>76197.2</v>
      </c>
      <c r="D1673" s="21">
        <f>SUM(D1665:D1672)</f>
        <v>33476.660000000003</v>
      </c>
      <c r="E1673" s="22">
        <f>SUM(E1665:E1672)</f>
        <v>1551.2400000000016</v>
      </c>
      <c r="F1673" s="22">
        <f>SUM(F1665:F1672)</f>
        <v>35027.9</v>
      </c>
      <c r="G1673" s="46">
        <f>C1673-D1673-E1673</f>
        <v>41169.299999999988</v>
      </c>
      <c r="H1673" s="80">
        <f>+C1673</f>
        <v>76197.2</v>
      </c>
      <c r="I1673" s="82">
        <f>+D1673</f>
        <v>33476.660000000003</v>
      </c>
      <c r="J1673" s="82">
        <f>+E1673</f>
        <v>1551.2400000000016</v>
      </c>
      <c r="K1673" s="82">
        <f>I1673+J1673</f>
        <v>35027.900000000009</v>
      </c>
      <c r="L1673" s="95">
        <f>H1673-K1673</f>
        <v>41169.299999999988</v>
      </c>
      <c r="M1673" s="99">
        <f>H1673-I1673</f>
        <v>42720.539999999994</v>
      </c>
    </row>
    <row r="1674" spans="2:13" x14ac:dyDescent="0.25">
      <c r="B1674" s="224" t="s">
        <v>29</v>
      </c>
      <c r="C1674" s="234">
        <v>16912.02</v>
      </c>
      <c r="D1674" s="245">
        <v>8853.5499999999993</v>
      </c>
      <c r="E1674" s="223">
        <f>9279.57-D1674</f>
        <v>426.02000000000044</v>
      </c>
      <c r="F1674" s="212">
        <f t="shared" ref="F1674" si="85">D1674+E1674</f>
        <v>9279.57</v>
      </c>
      <c r="G1674" s="218">
        <f>C1674-D1674-E1674</f>
        <v>7632.4500000000007</v>
      </c>
    </row>
    <row r="1675" spans="2:13" ht="15.75" thickBot="1" x14ac:dyDescent="0.3">
      <c r="B1675" s="214"/>
      <c r="C1675" s="215"/>
      <c r="D1675" s="234"/>
      <c r="E1675" s="213"/>
      <c r="F1675" s="213"/>
      <c r="G1675" s="219"/>
    </row>
    <row r="1676" spans="2:13" x14ac:dyDescent="0.25">
      <c r="B1676" s="214" t="s">
        <v>30</v>
      </c>
      <c r="C1676" s="215">
        <v>127437.26</v>
      </c>
      <c r="D1676" s="216">
        <v>16510.91</v>
      </c>
      <c r="E1676" s="212">
        <f>124958.18-D1676</f>
        <v>108447.26999999999</v>
      </c>
      <c r="F1676" s="212">
        <f t="shared" ref="F1676" si="86">D1676+E1676</f>
        <v>124958.18</v>
      </c>
      <c r="G1676" s="218">
        <f>C1676-D1676-E1676</f>
        <v>2479.0800000000017</v>
      </c>
    </row>
    <row r="1677" spans="2:13" ht="15.75" thickBot="1" x14ac:dyDescent="0.3">
      <c r="B1677" s="214"/>
      <c r="C1677" s="215"/>
      <c r="D1677" s="234"/>
      <c r="E1677" s="213"/>
      <c r="F1677" s="213"/>
      <c r="G1677" s="219"/>
    </row>
    <row r="1678" spans="2:13" x14ac:dyDescent="0.25">
      <c r="B1678" s="214" t="s">
        <v>31</v>
      </c>
      <c r="C1678" s="215">
        <v>0</v>
      </c>
      <c r="D1678" s="216">
        <v>0</v>
      </c>
      <c r="E1678" s="212">
        <f>0-D1678</f>
        <v>0</v>
      </c>
      <c r="F1678" s="212">
        <f t="shared" ref="F1678" si="87">D1678+E1678</f>
        <v>0</v>
      </c>
      <c r="G1678" s="218">
        <f>C1678-D1678-E1678</f>
        <v>0</v>
      </c>
    </row>
    <row r="1679" spans="2:13" ht="15.75" thickBot="1" x14ac:dyDescent="0.3">
      <c r="B1679" s="214"/>
      <c r="C1679" s="215"/>
      <c r="D1679" s="234"/>
      <c r="E1679" s="213"/>
      <c r="F1679" s="213"/>
      <c r="G1679" s="219"/>
    </row>
    <row r="1680" spans="2:13" x14ac:dyDescent="0.25">
      <c r="B1680" s="214" t="s">
        <v>32</v>
      </c>
      <c r="C1680" s="215">
        <v>6315.91</v>
      </c>
      <c r="D1680" s="216">
        <v>0</v>
      </c>
      <c r="E1680" s="212">
        <f>6303.71-D1680</f>
        <v>6303.71</v>
      </c>
      <c r="F1680" s="212">
        <f t="shared" ref="F1680" si="88">D1680+E1680</f>
        <v>6303.71</v>
      </c>
      <c r="G1680" s="218">
        <f>C1680-D1680-E1680</f>
        <v>12.199999999999818</v>
      </c>
    </row>
    <row r="1681" spans="2:13" ht="15.75" thickBot="1" x14ac:dyDescent="0.3">
      <c r="B1681" s="214"/>
      <c r="C1681" s="215"/>
      <c r="D1681" s="234"/>
      <c r="E1681" s="213"/>
      <c r="F1681" s="213"/>
      <c r="G1681" s="219"/>
    </row>
    <row r="1682" spans="2:13" x14ac:dyDescent="0.25">
      <c r="B1682" s="214" t="s">
        <v>33</v>
      </c>
      <c r="C1682" s="215">
        <v>0</v>
      </c>
      <c r="D1682" s="216">
        <v>0</v>
      </c>
      <c r="E1682" s="212">
        <f>0-D1682</f>
        <v>0</v>
      </c>
      <c r="F1682" s="212">
        <f t="shared" ref="F1682" si="89">D1682+E1682</f>
        <v>0</v>
      </c>
      <c r="G1682" s="218">
        <f>C1682-D1682-E1682</f>
        <v>0</v>
      </c>
    </row>
    <row r="1683" spans="2:13" ht="15.75" thickBot="1" x14ac:dyDescent="0.3">
      <c r="B1683" s="214"/>
      <c r="C1683" s="215"/>
      <c r="D1683" s="234"/>
      <c r="E1683" s="213"/>
      <c r="F1683" s="213"/>
      <c r="G1683" s="219"/>
    </row>
    <row r="1684" spans="2:13" x14ac:dyDescent="0.25">
      <c r="B1684" s="214" t="s">
        <v>34</v>
      </c>
      <c r="C1684" s="215">
        <v>0</v>
      </c>
      <c r="D1684" s="216">
        <v>0</v>
      </c>
      <c r="E1684" s="212">
        <f>C1684-D1684</f>
        <v>0</v>
      </c>
      <c r="F1684" s="212">
        <f t="shared" ref="F1684" si="90">D1684+E1684</f>
        <v>0</v>
      </c>
      <c r="G1684" s="218">
        <f>C1684-D1684-E1684</f>
        <v>0</v>
      </c>
    </row>
    <row r="1685" spans="2:13" ht="15.75" thickBot="1" x14ac:dyDescent="0.3">
      <c r="B1685" s="214"/>
      <c r="C1685" s="215"/>
      <c r="D1685" s="234"/>
      <c r="E1685" s="213"/>
      <c r="F1685" s="213"/>
      <c r="G1685" s="219"/>
    </row>
    <row r="1686" spans="2:13" x14ac:dyDescent="0.25">
      <c r="B1686" s="214" t="s">
        <v>35</v>
      </c>
      <c r="C1686" s="215">
        <v>0</v>
      </c>
      <c r="D1686" s="216">
        <v>0</v>
      </c>
      <c r="E1686" s="212">
        <f>C1686-D1686</f>
        <v>0</v>
      </c>
      <c r="F1686" s="212">
        <f t="shared" ref="F1686" si="91">D1686+E1686</f>
        <v>0</v>
      </c>
      <c r="G1686" s="218">
        <f>C1686-D1686-E1686</f>
        <v>0</v>
      </c>
    </row>
    <row r="1687" spans="2:13" ht="15.75" thickBot="1" x14ac:dyDescent="0.3">
      <c r="B1687" s="214"/>
      <c r="C1687" s="215"/>
      <c r="D1687" s="234"/>
      <c r="E1687" s="213"/>
      <c r="F1687" s="213"/>
      <c r="G1687" s="219"/>
    </row>
    <row r="1688" spans="2:13" ht="30.75" thickBot="1" x14ac:dyDescent="0.3">
      <c r="B1688" s="214" t="s">
        <v>36</v>
      </c>
      <c r="C1688" s="215">
        <v>0</v>
      </c>
      <c r="D1688" s="216">
        <v>0</v>
      </c>
      <c r="E1688" s="212">
        <f>C1688-D1688</f>
        <v>0</v>
      </c>
      <c r="F1688" s="212">
        <f t="shared" ref="F1688" si="92">D1688+E1688</f>
        <v>0</v>
      </c>
      <c r="G1688" s="218">
        <f>C1688-D1688-E1688</f>
        <v>0</v>
      </c>
      <c r="H1688" s="155" t="s">
        <v>67</v>
      </c>
      <c r="I1688" s="154" t="s">
        <v>60</v>
      </c>
      <c r="J1688" s="120" t="s">
        <v>61</v>
      </c>
      <c r="K1688" s="126" t="s">
        <v>66</v>
      </c>
      <c r="L1688" s="133" t="s">
        <v>62</v>
      </c>
      <c r="M1688" s="137" t="s">
        <v>63</v>
      </c>
    </row>
    <row r="1689" spans="2:13" ht="15.75" thickBot="1" x14ac:dyDescent="0.3">
      <c r="B1689" s="220"/>
      <c r="C1689" s="221"/>
      <c r="D1689" s="244"/>
      <c r="E1689" s="213"/>
      <c r="F1689" s="213"/>
      <c r="G1689" s="219"/>
      <c r="H1689" s="62">
        <v>100</v>
      </c>
      <c r="I1689" s="63">
        <f>I1690*100/H1690</f>
        <v>16.834983581808114</v>
      </c>
      <c r="J1689" s="63">
        <f>J1690*100/H1690</f>
        <v>76.445660739551059</v>
      </c>
      <c r="K1689" s="64">
        <f>(D1690+E1690)*100/C1690</f>
        <v>93.280644321359162</v>
      </c>
      <c r="L1689" s="91">
        <f>G1690*100/C1690</f>
        <v>6.7193556786408397</v>
      </c>
      <c r="M1689" s="136">
        <f>M1690*100/H1690</f>
        <v>83.165016418191897</v>
      </c>
    </row>
    <row r="1690" spans="2:13" ht="15.75" thickBot="1" x14ac:dyDescent="0.3">
      <c r="B1690" s="14" t="s">
        <v>22</v>
      </c>
      <c r="C1690" s="15">
        <f>SUM(C1674:C1689)</f>
        <v>150665.19</v>
      </c>
      <c r="D1690" s="15">
        <f>SUM(D1674:D1688)</f>
        <v>25364.46</v>
      </c>
      <c r="E1690" s="16">
        <f>SUM(E1674:E1689)</f>
        <v>115177</v>
      </c>
      <c r="F1690" s="16">
        <f>D1690+E1690</f>
        <v>140541.46</v>
      </c>
      <c r="G1690" s="46">
        <f>C1690-D1690-E1690</f>
        <v>10123.73000000001</v>
      </c>
      <c r="H1690" s="80">
        <f>K1690+L1690</f>
        <v>150665.19</v>
      </c>
      <c r="I1690" s="81">
        <f>+D1690</f>
        <v>25364.46</v>
      </c>
      <c r="J1690" s="81">
        <f>+E1690</f>
        <v>115177</v>
      </c>
      <c r="K1690" s="82">
        <f>D1690+E1690</f>
        <v>140541.46</v>
      </c>
      <c r="L1690" s="95">
        <f>+G1690</f>
        <v>10123.73000000001</v>
      </c>
      <c r="M1690" s="138">
        <f>H1690-I1690</f>
        <v>125300.73000000001</v>
      </c>
    </row>
    <row r="1691" spans="2:13" ht="15.75" thickBot="1" x14ac:dyDescent="0.3">
      <c r="B1691" s="17" t="s">
        <v>23</v>
      </c>
      <c r="C1691" s="18">
        <f>C1673+C1690</f>
        <v>226862.39</v>
      </c>
      <c r="D1691" s="19">
        <f>D1690+D1673</f>
        <v>58841.120000000003</v>
      </c>
      <c r="E1691" s="20">
        <f>E1673+E1690</f>
        <v>116728.24</v>
      </c>
      <c r="F1691" s="16">
        <f>D1691+E1691</f>
        <v>175569.36000000002</v>
      </c>
      <c r="G1691" s="28">
        <f>C1691-D1691-E1691</f>
        <v>51293.030000000013</v>
      </c>
      <c r="H1691" s="50">
        <f>+C1691</f>
        <v>226862.39</v>
      </c>
      <c r="I1691" s="51">
        <f>+D1691</f>
        <v>58841.120000000003</v>
      </c>
      <c r="J1691" s="51">
        <f>+E1691</f>
        <v>116728.24</v>
      </c>
      <c r="K1691" s="51">
        <f>I1691+J1691</f>
        <v>175569.36000000002</v>
      </c>
      <c r="L1691" s="100">
        <f>H1691-K1691</f>
        <v>51293.03</v>
      </c>
      <c r="M1691" s="139">
        <f>H1691-I1691</f>
        <v>168021.27000000002</v>
      </c>
    </row>
    <row r="1692" spans="2:13" ht="15.75" thickBot="1" x14ac:dyDescent="0.3">
      <c r="B1692" s="12"/>
      <c r="C1692" s="13"/>
      <c r="D1692" s="12"/>
      <c r="E1692" s="12"/>
      <c r="F1692" s="12"/>
      <c r="G1692" s="12"/>
      <c r="H1692" s="129">
        <v>100</v>
      </c>
      <c r="I1692" s="130">
        <f>I1691*100/H1691</f>
        <v>25.936921496771674</v>
      </c>
      <c r="J1692" s="130">
        <f>J1691*100/H1691</f>
        <v>51.453323752782467</v>
      </c>
      <c r="K1692" s="130">
        <f>K1691*100/H1691</f>
        <v>77.390245249554141</v>
      </c>
      <c r="L1692" s="131">
        <f>L1691*100/H1691</f>
        <v>22.609754750445852</v>
      </c>
      <c r="M1692" s="132">
        <f>M1691*100/H1691</f>
        <v>74.063078503228311</v>
      </c>
    </row>
    <row r="1693" spans="2:13" x14ac:dyDescent="0.25">
      <c r="B1693" s="12"/>
      <c r="C1693" s="13"/>
      <c r="D1693" s="12"/>
      <c r="E1693" s="12"/>
      <c r="F1693" s="12"/>
      <c r="G1693" s="12"/>
    </row>
    <row r="1694" spans="2:13" x14ac:dyDescent="0.25">
      <c r="B1694" s="12"/>
      <c r="C1694" s="13"/>
      <c r="D1694" s="12"/>
      <c r="E1694" s="12"/>
      <c r="F1694" s="12"/>
      <c r="G1694" s="12"/>
    </row>
    <row r="1695" spans="2:13" x14ac:dyDescent="0.25">
      <c r="B1695" s="12"/>
      <c r="C1695" s="13"/>
      <c r="D1695" s="12"/>
      <c r="E1695" s="12"/>
      <c r="F1695" s="12"/>
      <c r="G1695" s="12"/>
    </row>
    <row r="1696" spans="2:13" x14ac:dyDescent="0.25">
      <c r="B1696" s="12"/>
      <c r="C1696" s="13"/>
      <c r="D1696" s="12"/>
      <c r="E1696" s="12"/>
      <c r="F1696" s="12"/>
      <c r="G1696" s="12"/>
    </row>
    <row r="1697" spans="2:7" x14ac:dyDescent="0.25">
      <c r="B1697" s="12"/>
      <c r="C1697" s="13"/>
      <c r="D1697" s="12"/>
      <c r="E1697" s="12"/>
      <c r="F1697" s="12"/>
      <c r="G1697" s="12"/>
    </row>
    <row r="1698" spans="2:7" x14ac:dyDescent="0.25">
      <c r="B1698" s="12"/>
      <c r="C1698" s="13"/>
      <c r="D1698" s="12"/>
      <c r="E1698" s="12"/>
      <c r="F1698" s="12"/>
      <c r="G1698" s="12"/>
    </row>
    <row r="1699" spans="2:7" x14ac:dyDescent="0.25">
      <c r="B1699" s="12"/>
      <c r="C1699" s="13"/>
      <c r="D1699" s="12"/>
      <c r="E1699" s="12"/>
      <c r="F1699" s="12"/>
      <c r="G1699" s="12"/>
    </row>
    <row r="1700" spans="2:7" x14ac:dyDescent="0.25">
      <c r="B1700" s="12"/>
      <c r="C1700" s="13"/>
      <c r="D1700" s="12"/>
      <c r="E1700" s="12"/>
      <c r="F1700" s="12"/>
      <c r="G1700" s="12"/>
    </row>
    <row r="1701" spans="2:7" x14ac:dyDescent="0.25">
      <c r="B1701" s="12"/>
      <c r="C1701" s="13"/>
      <c r="D1701" s="12"/>
      <c r="E1701" s="12"/>
      <c r="F1701" s="12"/>
      <c r="G1701" s="12"/>
    </row>
    <row r="1702" spans="2:7" x14ac:dyDescent="0.25">
      <c r="B1702" s="12"/>
      <c r="C1702" s="13"/>
      <c r="D1702" s="12"/>
      <c r="E1702" s="12"/>
      <c r="F1702" s="12"/>
      <c r="G1702" s="12"/>
    </row>
    <row r="1703" spans="2:7" x14ac:dyDescent="0.25">
      <c r="B1703" s="12"/>
      <c r="C1703" s="13"/>
      <c r="D1703" s="12"/>
      <c r="E1703" s="12"/>
      <c r="F1703" s="12"/>
      <c r="G1703" s="12"/>
    </row>
    <row r="1704" spans="2:7" x14ac:dyDescent="0.25">
      <c r="B1704" s="12"/>
      <c r="C1704" s="13"/>
      <c r="D1704" s="12"/>
      <c r="E1704" s="12"/>
      <c r="F1704" s="12"/>
      <c r="G1704" s="12"/>
    </row>
    <row r="1705" spans="2:7" x14ac:dyDescent="0.25">
      <c r="B1705" s="12"/>
      <c r="C1705" s="13"/>
      <c r="D1705" s="12"/>
      <c r="E1705" s="12"/>
      <c r="F1705" s="12"/>
      <c r="G1705" s="12"/>
    </row>
    <row r="1706" spans="2:7" x14ac:dyDescent="0.25">
      <c r="B1706" s="12"/>
      <c r="C1706" s="13"/>
      <c r="D1706" s="12"/>
      <c r="E1706" s="12"/>
      <c r="F1706" s="12"/>
      <c r="G1706" s="12"/>
    </row>
    <row r="1707" spans="2:7" x14ac:dyDescent="0.25">
      <c r="B1707" s="12"/>
      <c r="C1707" s="13"/>
      <c r="D1707" s="12"/>
      <c r="E1707" s="12"/>
      <c r="F1707" s="12"/>
      <c r="G1707" s="12"/>
    </row>
    <row r="1708" spans="2:7" x14ac:dyDescent="0.25">
      <c r="B1708" s="12"/>
      <c r="C1708" s="13"/>
      <c r="D1708" s="12"/>
      <c r="E1708" s="12"/>
      <c r="F1708" s="12"/>
      <c r="G1708" s="12"/>
    </row>
    <row r="1709" spans="2:7" x14ac:dyDescent="0.25">
      <c r="B1709" s="225" t="s">
        <v>0</v>
      </c>
      <c r="C1709" s="225"/>
      <c r="D1709" s="225"/>
      <c r="E1709" s="225"/>
      <c r="F1709" s="225"/>
      <c r="G1709" s="225"/>
    </row>
    <row r="1710" spans="2:7" x14ac:dyDescent="0.25">
      <c r="B1710" s="225" t="s">
        <v>1</v>
      </c>
      <c r="C1710" s="225"/>
      <c r="D1710" s="225"/>
      <c r="E1710" s="225"/>
      <c r="F1710" s="225"/>
      <c r="G1710" s="225"/>
    </row>
    <row r="1711" spans="2:7" x14ac:dyDescent="0.25">
      <c r="B1711" s="225" t="s">
        <v>45</v>
      </c>
      <c r="C1711" s="225"/>
      <c r="D1711" s="225"/>
      <c r="E1711" s="225"/>
      <c r="F1711" s="225"/>
      <c r="G1711" s="225"/>
    </row>
    <row r="1712" spans="2:7" x14ac:dyDescent="0.25">
      <c r="B1712" s="225" t="s">
        <v>47</v>
      </c>
      <c r="C1712" s="225"/>
      <c r="D1712" s="225"/>
      <c r="E1712" s="225"/>
      <c r="F1712" s="225"/>
      <c r="G1712" s="225"/>
    </row>
    <row r="1713" spans="2:12" x14ac:dyDescent="0.25">
      <c r="B1713" s="225" t="s">
        <v>124</v>
      </c>
      <c r="C1713" s="225"/>
      <c r="D1713" s="225"/>
      <c r="E1713" s="225"/>
      <c r="F1713" s="225"/>
      <c r="G1713" s="225"/>
    </row>
    <row r="1714" spans="2:12" ht="15.75" thickBot="1" x14ac:dyDescent="0.3">
      <c r="B1714" s="12"/>
      <c r="C1714" s="13"/>
      <c r="D1714" s="12"/>
      <c r="E1714" s="12"/>
      <c r="F1714" s="12"/>
      <c r="G1714" s="12"/>
    </row>
    <row r="1715" spans="2:12" ht="36.75" thickBot="1" x14ac:dyDescent="0.3">
      <c r="B1715" s="185"/>
      <c r="C1715" s="184" t="s">
        <v>5</v>
      </c>
      <c r="D1715" s="161" t="s">
        <v>72</v>
      </c>
      <c r="E1715" s="172" t="s">
        <v>6</v>
      </c>
      <c r="F1715" s="161" t="s">
        <v>60</v>
      </c>
      <c r="G1715" s="172" t="s">
        <v>7</v>
      </c>
      <c r="H1715" s="180" t="s">
        <v>98</v>
      </c>
      <c r="I1715" s="172" t="s">
        <v>65</v>
      </c>
      <c r="J1715" s="180" t="s">
        <v>99</v>
      </c>
      <c r="K1715" s="177" t="s">
        <v>8</v>
      </c>
      <c r="L1715" s="181" t="s">
        <v>100</v>
      </c>
    </row>
    <row r="1716" spans="2:12" ht="15.75" thickBot="1" x14ac:dyDescent="0.3">
      <c r="B1716" s="194" t="s">
        <v>112</v>
      </c>
      <c r="C1716" s="182">
        <v>226862.39</v>
      </c>
      <c r="D1716" s="174">
        <v>1</v>
      </c>
      <c r="E1716" s="170">
        <v>58841.120000000003</v>
      </c>
      <c r="F1716" s="175">
        <f>E1716/C1716</f>
        <v>0.25936921496771675</v>
      </c>
      <c r="G1716" s="170">
        <v>116728.24</v>
      </c>
      <c r="H1716" s="175">
        <f>G1716/C1716</f>
        <v>0.51453323752782465</v>
      </c>
      <c r="I1716" s="170">
        <f>E1716+G1716</f>
        <v>175569.36000000002</v>
      </c>
      <c r="J1716" s="175">
        <f>I1716/C1716</f>
        <v>0.77390245249554146</v>
      </c>
      <c r="K1716" s="189">
        <f>C1716-I1716</f>
        <v>51293.03</v>
      </c>
      <c r="L1716" s="190">
        <f>K1716/C1716</f>
        <v>0.22609754750445851</v>
      </c>
    </row>
    <row r="1717" spans="2:12" x14ac:dyDescent="0.25">
      <c r="B1717" s="12"/>
      <c r="C1717" s="13"/>
      <c r="D1717" s="12"/>
      <c r="E1717" s="12"/>
      <c r="F1717" s="12"/>
      <c r="G1717" s="12"/>
    </row>
    <row r="1718" spans="2:12" x14ac:dyDescent="0.25">
      <c r="B1718" s="12"/>
      <c r="C1718" s="13"/>
      <c r="D1718" s="12"/>
      <c r="E1718" s="12"/>
      <c r="F1718" s="12"/>
      <c r="G1718" s="12"/>
    </row>
    <row r="1719" spans="2:12" x14ac:dyDescent="0.25">
      <c r="B1719" s="12"/>
      <c r="C1719" s="13"/>
      <c r="D1719" s="12"/>
      <c r="E1719" s="12"/>
      <c r="F1719" s="12"/>
      <c r="G1719" s="12"/>
    </row>
    <row r="1720" spans="2:12" x14ac:dyDescent="0.25">
      <c r="B1720" s="12"/>
      <c r="C1720" s="13"/>
      <c r="D1720" s="12"/>
      <c r="E1720" s="12"/>
      <c r="F1720" s="12"/>
      <c r="G1720" s="12"/>
    </row>
    <row r="1721" spans="2:12" x14ac:dyDescent="0.25">
      <c r="B1721" s="12"/>
      <c r="C1721" s="13"/>
      <c r="D1721" s="12"/>
      <c r="E1721" s="12"/>
      <c r="F1721" s="12"/>
      <c r="G1721" s="12"/>
    </row>
    <row r="1722" spans="2:12" x14ac:dyDescent="0.25">
      <c r="B1722" s="12"/>
      <c r="C1722" s="13"/>
      <c r="D1722" s="12"/>
      <c r="E1722" s="12"/>
      <c r="F1722" s="12"/>
      <c r="G1722" s="12"/>
    </row>
    <row r="1723" spans="2:12" x14ac:dyDescent="0.25">
      <c r="B1723" s="12"/>
      <c r="C1723" s="13"/>
      <c r="D1723" s="12"/>
      <c r="E1723" s="12"/>
      <c r="F1723" s="12"/>
      <c r="G1723" s="12"/>
    </row>
    <row r="1724" spans="2:12" x14ac:dyDescent="0.25">
      <c r="B1724" s="12"/>
      <c r="C1724" s="13"/>
      <c r="D1724" s="12"/>
      <c r="E1724" s="12"/>
      <c r="F1724" s="12"/>
      <c r="G1724" s="12"/>
    </row>
    <row r="1725" spans="2:12" x14ac:dyDescent="0.25">
      <c r="B1725" s="12"/>
      <c r="C1725" s="13"/>
      <c r="D1725" s="12"/>
      <c r="E1725" s="12"/>
      <c r="F1725" s="12"/>
      <c r="G1725" s="12"/>
    </row>
    <row r="1726" spans="2:12" x14ac:dyDescent="0.25">
      <c r="B1726" s="12"/>
      <c r="C1726" s="13"/>
      <c r="D1726" s="12"/>
      <c r="E1726" s="12"/>
      <c r="F1726" s="12"/>
      <c r="G1726" s="12"/>
    </row>
    <row r="1727" spans="2:12" x14ac:dyDescent="0.25">
      <c r="B1727" s="12"/>
      <c r="C1727" s="13"/>
      <c r="D1727" s="12"/>
      <c r="E1727" s="12"/>
      <c r="F1727" s="12"/>
      <c r="G1727" s="12"/>
    </row>
    <row r="1728" spans="2:12" x14ac:dyDescent="0.25">
      <c r="B1728" s="12"/>
      <c r="C1728" s="13"/>
      <c r="D1728" s="12"/>
      <c r="E1728" s="12"/>
      <c r="F1728" s="12"/>
      <c r="G1728" s="12"/>
    </row>
    <row r="1729" spans="2:7" x14ac:dyDescent="0.25">
      <c r="B1729" s="12"/>
      <c r="C1729" s="13"/>
      <c r="D1729" s="12"/>
      <c r="E1729" s="12"/>
      <c r="F1729" s="12"/>
      <c r="G1729" s="12"/>
    </row>
    <row r="1730" spans="2:7" x14ac:dyDescent="0.25">
      <c r="B1730" s="12"/>
      <c r="C1730" s="13"/>
      <c r="D1730" s="12"/>
      <c r="E1730" s="12"/>
      <c r="F1730" s="12"/>
      <c r="G1730" s="12"/>
    </row>
    <row r="1731" spans="2:7" x14ac:dyDescent="0.25">
      <c r="B1731" s="12"/>
      <c r="C1731" s="13"/>
      <c r="D1731" s="12"/>
      <c r="E1731" s="12"/>
      <c r="F1731" s="12"/>
      <c r="G1731" s="12"/>
    </row>
    <row r="1732" spans="2:7" x14ac:dyDescent="0.25">
      <c r="B1732" s="12"/>
      <c r="C1732" s="13"/>
      <c r="D1732" s="12"/>
      <c r="E1732" s="12"/>
      <c r="F1732" s="12"/>
      <c r="G1732" s="12"/>
    </row>
    <row r="1733" spans="2:7" x14ac:dyDescent="0.25">
      <c r="B1733" s="12"/>
      <c r="C1733" s="13"/>
      <c r="D1733" s="12"/>
      <c r="E1733" s="12"/>
      <c r="F1733" s="12"/>
      <c r="G1733" s="12"/>
    </row>
    <row r="1734" spans="2:7" x14ac:dyDescent="0.25">
      <c r="B1734" s="12"/>
      <c r="C1734" s="13"/>
      <c r="D1734" s="12"/>
      <c r="E1734" s="12"/>
      <c r="F1734" s="12"/>
      <c r="G1734" s="12"/>
    </row>
    <row r="1735" spans="2:7" x14ac:dyDescent="0.25">
      <c r="B1735" s="12"/>
      <c r="C1735" s="13"/>
      <c r="D1735" s="12"/>
      <c r="E1735" s="12"/>
      <c r="F1735" s="12"/>
      <c r="G1735" s="12"/>
    </row>
    <row r="1736" spans="2:7" x14ac:dyDescent="0.25">
      <c r="B1736" s="12"/>
      <c r="C1736" s="13"/>
      <c r="D1736" s="12"/>
      <c r="E1736" s="12"/>
      <c r="F1736" s="12"/>
      <c r="G1736" s="12"/>
    </row>
    <row r="1737" spans="2:7" x14ac:dyDescent="0.25">
      <c r="B1737" s="12"/>
      <c r="C1737" s="13"/>
      <c r="D1737" s="12"/>
      <c r="E1737" s="12"/>
      <c r="F1737" s="12"/>
      <c r="G1737" s="12"/>
    </row>
    <row r="1738" spans="2:7" x14ac:dyDescent="0.25">
      <c r="B1738" s="12"/>
      <c r="C1738" s="13"/>
      <c r="D1738" s="12"/>
      <c r="E1738" s="12"/>
      <c r="F1738" s="12"/>
      <c r="G1738" s="12"/>
    </row>
    <row r="1739" spans="2:7" x14ac:dyDescent="0.25">
      <c r="B1739" s="12"/>
      <c r="C1739" s="13"/>
      <c r="D1739" s="12"/>
      <c r="E1739" s="12"/>
      <c r="F1739" s="12"/>
      <c r="G1739" s="12"/>
    </row>
    <row r="1740" spans="2:7" x14ac:dyDescent="0.25">
      <c r="B1740" s="12"/>
      <c r="C1740" s="13"/>
      <c r="D1740" s="12"/>
      <c r="E1740" s="12"/>
      <c r="F1740" s="12"/>
      <c r="G1740" s="12"/>
    </row>
    <row r="1741" spans="2:7" x14ac:dyDescent="0.25">
      <c r="B1741" s="12"/>
      <c r="C1741" s="13"/>
      <c r="D1741" s="12"/>
      <c r="E1741" s="12"/>
      <c r="F1741" s="12"/>
      <c r="G1741" s="12"/>
    </row>
    <row r="1742" spans="2:7" x14ac:dyDescent="0.25">
      <c r="B1742" s="12"/>
      <c r="C1742" s="13"/>
      <c r="D1742" s="12"/>
      <c r="E1742" s="12"/>
      <c r="F1742" s="12"/>
      <c r="G1742" s="12"/>
    </row>
    <row r="1743" spans="2:7" x14ac:dyDescent="0.25">
      <c r="B1743" s="12"/>
      <c r="C1743" s="13"/>
      <c r="D1743" s="12"/>
      <c r="E1743" s="12"/>
      <c r="F1743" s="12"/>
      <c r="G1743" s="12"/>
    </row>
    <row r="1744" spans="2:7" x14ac:dyDescent="0.25">
      <c r="B1744" s="12"/>
      <c r="C1744" s="13"/>
      <c r="D1744" s="12"/>
      <c r="E1744" s="12"/>
      <c r="F1744" s="12"/>
      <c r="G1744" s="12"/>
    </row>
    <row r="1745" spans="2:7" x14ac:dyDescent="0.25">
      <c r="B1745" s="12"/>
      <c r="C1745" s="13"/>
      <c r="D1745" s="12"/>
      <c r="E1745" s="12"/>
      <c r="F1745" s="12"/>
      <c r="G1745" s="12"/>
    </row>
    <row r="1746" spans="2:7" x14ac:dyDescent="0.25">
      <c r="B1746" s="12"/>
      <c r="C1746" s="13"/>
      <c r="D1746" s="12"/>
      <c r="E1746" s="12"/>
      <c r="F1746" s="12"/>
      <c r="G1746" s="12"/>
    </row>
    <row r="1747" spans="2:7" x14ac:dyDescent="0.25">
      <c r="B1747" s="12"/>
      <c r="C1747" s="13"/>
      <c r="D1747" s="12"/>
      <c r="E1747" s="12"/>
      <c r="F1747" s="12"/>
      <c r="G1747" s="12"/>
    </row>
    <row r="1748" spans="2:7" x14ac:dyDescent="0.25">
      <c r="B1748" s="12"/>
      <c r="C1748" s="13"/>
      <c r="D1748" s="12"/>
      <c r="E1748" s="12"/>
      <c r="F1748" s="12"/>
      <c r="G1748" s="12"/>
    </row>
    <row r="1749" spans="2:7" x14ac:dyDescent="0.25">
      <c r="B1749" s="12"/>
      <c r="C1749" s="13"/>
      <c r="D1749" s="12"/>
      <c r="E1749" s="12"/>
      <c r="F1749" s="12"/>
      <c r="G1749" s="12"/>
    </row>
    <row r="1750" spans="2:7" x14ac:dyDescent="0.25">
      <c r="B1750" s="12"/>
      <c r="C1750" s="13"/>
      <c r="D1750" s="12"/>
      <c r="E1750" s="12"/>
      <c r="F1750" s="12"/>
      <c r="G1750" s="12"/>
    </row>
    <row r="1751" spans="2:7" x14ac:dyDescent="0.25">
      <c r="B1751" s="12"/>
      <c r="C1751" s="13"/>
      <c r="D1751" s="12"/>
      <c r="E1751" s="12"/>
      <c r="F1751" s="12"/>
      <c r="G1751" s="12"/>
    </row>
    <row r="1752" spans="2:7" x14ac:dyDescent="0.25">
      <c r="B1752" s="12"/>
      <c r="C1752" s="13"/>
      <c r="D1752" s="12"/>
      <c r="E1752" s="12"/>
      <c r="F1752" s="12"/>
      <c r="G1752" s="12"/>
    </row>
    <row r="1753" spans="2:7" x14ac:dyDescent="0.25">
      <c r="B1753" s="12"/>
      <c r="C1753" s="13"/>
      <c r="D1753" s="12"/>
      <c r="E1753" s="12"/>
      <c r="F1753" s="12"/>
      <c r="G1753" s="12"/>
    </row>
    <row r="1754" spans="2:7" x14ac:dyDescent="0.25">
      <c r="B1754" s="12"/>
      <c r="C1754" s="13"/>
      <c r="D1754" s="12"/>
      <c r="E1754" s="12"/>
      <c r="F1754" s="12"/>
      <c r="G1754" s="12"/>
    </row>
    <row r="1755" spans="2:7" x14ac:dyDescent="0.25">
      <c r="B1755" s="12"/>
      <c r="C1755" s="13"/>
      <c r="D1755" s="12"/>
      <c r="E1755" s="12"/>
      <c r="F1755" s="12"/>
      <c r="G1755" s="12"/>
    </row>
    <row r="1756" spans="2:7" x14ac:dyDescent="0.25">
      <c r="B1756" s="12"/>
      <c r="C1756" s="13"/>
      <c r="D1756" s="12"/>
      <c r="E1756" s="12"/>
      <c r="F1756" s="12"/>
      <c r="G1756" s="12"/>
    </row>
    <row r="1757" spans="2:7" x14ac:dyDescent="0.25">
      <c r="B1757" s="12"/>
      <c r="C1757" s="13"/>
      <c r="D1757" s="12"/>
      <c r="E1757" s="12"/>
      <c r="F1757" s="12"/>
      <c r="G1757" s="12"/>
    </row>
    <row r="1758" spans="2:7" x14ac:dyDescent="0.25">
      <c r="B1758" s="12"/>
      <c r="C1758" s="13"/>
      <c r="D1758" s="12"/>
      <c r="E1758" s="12"/>
      <c r="F1758" s="12"/>
      <c r="G1758" s="12"/>
    </row>
    <row r="1759" spans="2:7" x14ac:dyDescent="0.25">
      <c r="B1759" s="12"/>
      <c r="C1759" s="13"/>
      <c r="D1759" s="12"/>
      <c r="E1759" s="12"/>
      <c r="F1759" s="12"/>
      <c r="G1759" s="12"/>
    </row>
    <row r="1760" spans="2:7" x14ac:dyDescent="0.25">
      <c r="B1760" s="12"/>
      <c r="C1760" s="13"/>
      <c r="D1760" s="12"/>
      <c r="E1760" s="12"/>
      <c r="F1760" s="12"/>
      <c r="G1760" s="12"/>
    </row>
    <row r="1761" spans="2:7" x14ac:dyDescent="0.25">
      <c r="B1761" s="12"/>
      <c r="C1761" s="13"/>
      <c r="D1761" s="12"/>
      <c r="E1761" s="12"/>
      <c r="F1761" s="12"/>
      <c r="G1761" s="12"/>
    </row>
    <row r="1762" spans="2:7" x14ac:dyDescent="0.25">
      <c r="B1762" s="12"/>
      <c r="C1762" s="13"/>
      <c r="D1762" s="12"/>
      <c r="E1762" s="12"/>
      <c r="F1762" s="12"/>
      <c r="G1762" s="12"/>
    </row>
    <row r="1763" spans="2:7" x14ac:dyDescent="0.25">
      <c r="B1763" s="225" t="s">
        <v>0</v>
      </c>
      <c r="C1763" s="225"/>
      <c r="D1763" s="225"/>
      <c r="E1763" s="225"/>
      <c r="F1763" s="225"/>
      <c r="G1763" s="225"/>
    </row>
    <row r="1764" spans="2:7" x14ac:dyDescent="0.25">
      <c r="B1764" s="225" t="s">
        <v>1</v>
      </c>
      <c r="C1764" s="225"/>
      <c r="D1764" s="225"/>
      <c r="E1764" s="225"/>
      <c r="F1764" s="225"/>
      <c r="G1764" s="225"/>
    </row>
    <row r="1765" spans="2:7" x14ac:dyDescent="0.25">
      <c r="B1765" s="225" t="s">
        <v>45</v>
      </c>
      <c r="C1765" s="225"/>
      <c r="D1765" s="225"/>
      <c r="E1765" s="225"/>
      <c r="F1765" s="225"/>
      <c r="G1765" s="225"/>
    </row>
    <row r="1766" spans="2:7" x14ac:dyDescent="0.25">
      <c r="B1766" s="225" t="s">
        <v>48</v>
      </c>
      <c r="C1766" s="225"/>
      <c r="D1766" s="225"/>
      <c r="E1766" s="225"/>
      <c r="F1766" s="225"/>
      <c r="G1766" s="225"/>
    </row>
    <row r="1767" spans="2:7" x14ac:dyDescent="0.25">
      <c r="B1767" s="225" t="s">
        <v>124</v>
      </c>
      <c r="C1767" s="225"/>
      <c r="D1767" s="225"/>
      <c r="E1767" s="225"/>
      <c r="F1767" s="225"/>
      <c r="G1767" s="225"/>
    </row>
    <row r="1768" spans="2:7" x14ac:dyDescent="0.25">
      <c r="B1768" s="159"/>
      <c r="C1768" s="159"/>
      <c r="D1768" s="159"/>
      <c r="E1768" s="159"/>
      <c r="F1768" s="159"/>
      <c r="G1768" s="159"/>
    </row>
    <row r="1769" spans="2:7" ht="15.75" thickBot="1" x14ac:dyDescent="0.3">
      <c r="B1769" s="159"/>
      <c r="C1769" s="159"/>
      <c r="D1769" s="159"/>
      <c r="E1769" s="159"/>
      <c r="F1769" s="159"/>
      <c r="G1769" s="12"/>
    </row>
    <row r="1770" spans="2:7" ht="24.75" thickBot="1" x14ac:dyDescent="0.3">
      <c r="B1770" s="2" t="s">
        <v>4</v>
      </c>
      <c r="C1770" s="3" t="s">
        <v>5</v>
      </c>
      <c r="D1770" s="3" t="s">
        <v>6</v>
      </c>
      <c r="E1770" s="4" t="s">
        <v>7</v>
      </c>
      <c r="F1770" s="3" t="s">
        <v>65</v>
      </c>
      <c r="G1770" s="3" t="s">
        <v>8</v>
      </c>
    </row>
    <row r="1771" spans="2:7" x14ac:dyDescent="0.25">
      <c r="B1771" s="226" t="s">
        <v>25</v>
      </c>
      <c r="C1771" s="228">
        <v>509456.59</v>
      </c>
      <c r="D1771" s="245">
        <v>434349.21</v>
      </c>
      <c r="E1771" s="229">
        <f>443721.52-D1771</f>
        <v>9372.3099999999977</v>
      </c>
      <c r="F1771" s="228">
        <f>D1771+E1771</f>
        <v>443721.52</v>
      </c>
      <c r="G1771" s="228">
        <f>C1771-D1771-E1771</f>
        <v>65735.070000000007</v>
      </c>
    </row>
    <row r="1772" spans="2:7" ht="15.75" thickBot="1" x14ac:dyDescent="0.3">
      <c r="B1772" s="227"/>
      <c r="C1772" s="215"/>
      <c r="D1772" s="234"/>
      <c r="E1772" s="230"/>
      <c r="F1772" s="215"/>
      <c r="G1772" s="215"/>
    </row>
    <row r="1773" spans="2:7" x14ac:dyDescent="0.25">
      <c r="B1773" s="231" t="s">
        <v>26</v>
      </c>
      <c r="C1773" s="215">
        <v>52149.64</v>
      </c>
      <c r="D1773" s="216">
        <v>18310.490000000002</v>
      </c>
      <c r="E1773" s="236">
        <f>27803.75-D1773</f>
        <v>9493.2599999999984</v>
      </c>
      <c r="F1773" s="216">
        <f>D1773+E1773</f>
        <v>27803.75</v>
      </c>
      <c r="G1773" s="228">
        <f>C1773-D1773-E1773</f>
        <v>24345.889999999996</v>
      </c>
    </row>
    <row r="1774" spans="2:7" ht="15.75" thickBot="1" x14ac:dyDescent="0.3">
      <c r="B1774" s="231"/>
      <c r="C1774" s="215"/>
      <c r="D1774" s="234"/>
      <c r="E1774" s="263"/>
      <c r="F1774" s="217"/>
      <c r="G1774" s="215"/>
    </row>
    <row r="1775" spans="2:7" x14ac:dyDescent="0.25">
      <c r="B1775" s="231" t="s">
        <v>27</v>
      </c>
      <c r="C1775" s="215">
        <v>0</v>
      </c>
      <c r="D1775" s="216">
        <v>0</v>
      </c>
      <c r="E1775" s="236">
        <f>0-D1775</f>
        <v>0</v>
      </c>
      <c r="F1775" s="216">
        <f t="shared" ref="F1775" si="93">D1775+E1775</f>
        <v>0</v>
      </c>
      <c r="G1775" s="228">
        <f>C1775-D1775-E1775</f>
        <v>0</v>
      </c>
    </row>
    <row r="1776" spans="2:7" ht="15.75" thickBot="1" x14ac:dyDescent="0.3">
      <c r="B1776" s="231"/>
      <c r="C1776" s="215"/>
      <c r="D1776" s="234"/>
      <c r="E1776" s="263"/>
      <c r="F1776" s="217"/>
      <c r="G1776" s="215"/>
    </row>
    <row r="1777" spans="2:13" ht="30.75" thickBot="1" x14ac:dyDescent="0.3">
      <c r="B1777" s="231" t="s">
        <v>28</v>
      </c>
      <c r="C1777" s="215">
        <v>0</v>
      </c>
      <c r="D1777" s="216">
        <v>0</v>
      </c>
      <c r="E1777" s="236">
        <f>C1777-D1777</f>
        <v>0</v>
      </c>
      <c r="F1777" s="216">
        <f t="shared" ref="F1777" si="94">D1777+E1777</f>
        <v>0</v>
      </c>
      <c r="G1777" s="228">
        <f>C1777-D1777-E1777</f>
        <v>0</v>
      </c>
      <c r="H1777" s="155" t="s">
        <v>67</v>
      </c>
      <c r="I1777" s="154" t="s">
        <v>60</v>
      </c>
      <c r="J1777" s="120" t="s">
        <v>61</v>
      </c>
      <c r="K1777" s="126" t="s">
        <v>66</v>
      </c>
      <c r="L1777" s="133" t="s">
        <v>62</v>
      </c>
      <c r="M1777" s="148" t="s">
        <v>63</v>
      </c>
    </row>
    <row r="1778" spans="2:13" ht="15.75" thickBot="1" x14ac:dyDescent="0.3">
      <c r="B1778" s="232"/>
      <c r="C1778" s="216"/>
      <c r="D1778" s="244"/>
      <c r="E1778" s="264"/>
      <c r="F1778" s="222"/>
      <c r="G1778" s="239"/>
      <c r="H1778" s="58">
        <v>100</v>
      </c>
      <c r="I1778" s="59">
        <f>I1779*100/H1779</f>
        <v>80.600904302646356</v>
      </c>
      <c r="J1778" s="59">
        <f>J1779*100/H1779</f>
        <v>3.3592166525645553</v>
      </c>
      <c r="K1778" s="59">
        <f>K1779*100/H1779</f>
        <v>83.960120955210911</v>
      </c>
      <c r="L1778" s="98">
        <f>L1779*100/H1779</f>
        <v>16.039879044789082</v>
      </c>
      <c r="M1778" s="97">
        <f>M1779*100/H1779</f>
        <v>19.399095697353637</v>
      </c>
    </row>
    <row r="1779" spans="2:13" ht="15.75" thickBot="1" x14ac:dyDescent="0.3">
      <c r="B1779" s="14" t="s">
        <v>13</v>
      </c>
      <c r="C1779" s="21">
        <f>SUM(C1771:C1778)</f>
        <v>561606.23</v>
      </c>
      <c r="D1779" s="21">
        <f>SUM(D1771:D1778)</f>
        <v>452659.7</v>
      </c>
      <c r="E1779" s="22">
        <f>SUM(E1771:E1778)</f>
        <v>18865.569999999996</v>
      </c>
      <c r="F1779" s="22">
        <f>SUM(F1771:F1778)</f>
        <v>471525.27</v>
      </c>
      <c r="G1779" s="46">
        <f>C1779-D1779-E1779</f>
        <v>90080.959999999977</v>
      </c>
      <c r="H1779" s="80">
        <f>+C1779</f>
        <v>561606.23</v>
      </c>
      <c r="I1779" s="82">
        <f>+D1779</f>
        <v>452659.7</v>
      </c>
      <c r="J1779" s="82">
        <f>+E1779</f>
        <v>18865.569999999996</v>
      </c>
      <c r="K1779" s="82">
        <f>I1779+J1779</f>
        <v>471525.27</v>
      </c>
      <c r="L1779" s="95">
        <f>H1779-K1779</f>
        <v>90080.959999999963</v>
      </c>
      <c r="M1779" s="99">
        <f>H1779-I1779</f>
        <v>108946.52999999997</v>
      </c>
    </row>
    <row r="1780" spans="2:13" x14ac:dyDescent="0.25">
      <c r="B1780" s="224" t="s">
        <v>29</v>
      </c>
      <c r="C1780" s="234">
        <v>509440.67</v>
      </c>
      <c r="D1780" s="245">
        <v>297488.98</v>
      </c>
      <c r="E1780" s="223">
        <f>308734.25-D1780</f>
        <v>11245.270000000019</v>
      </c>
      <c r="F1780" s="212">
        <f t="shared" ref="F1780" si="95">D1780+E1780</f>
        <v>308734.25</v>
      </c>
      <c r="G1780" s="218">
        <f>C1780-D1780-E1780</f>
        <v>200706.41999999998</v>
      </c>
    </row>
    <row r="1781" spans="2:13" ht="15.75" thickBot="1" x14ac:dyDescent="0.3">
      <c r="B1781" s="214"/>
      <c r="C1781" s="215"/>
      <c r="D1781" s="234"/>
      <c r="E1781" s="213"/>
      <c r="F1781" s="213"/>
      <c r="G1781" s="219"/>
    </row>
    <row r="1782" spans="2:13" x14ac:dyDescent="0.25">
      <c r="B1782" s="214" t="s">
        <v>30</v>
      </c>
      <c r="C1782" s="215">
        <v>495299.63</v>
      </c>
      <c r="D1782" s="216">
        <v>147939.88</v>
      </c>
      <c r="E1782" s="212">
        <f>208315.4-D1782</f>
        <v>60375.51999999999</v>
      </c>
      <c r="F1782" s="212">
        <f t="shared" ref="F1782" si="96">D1782+E1782</f>
        <v>208315.4</v>
      </c>
      <c r="G1782" s="218">
        <f>C1782-D1782-E1782</f>
        <v>286984.23</v>
      </c>
    </row>
    <row r="1783" spans="2:13" ht="15.75" thickBot="1" x14ac:dyDescent="0.3">
      <c r="B1783" s="214"/>
      <c r="C1783" s="215"/>
      <c r="D1783" s="234"/>
      <c r="E1783" s="213"/>
      <c r="F1783" s="213"/>
      <c r="G1783" s="219"/>
    </row>
    <row r="1784" spans="2:13" x14ac:dyDescent="0.25">
      <c r="B1784" s="214" t="s">
        <v>31</v>
      </c>
      <c r="C1784" s="215">
        <v>59626.32</v>
      </c>
      <c r="D1784" s="216">
        <v>179.19</v>
      </c>
      <c r="E1784" s="212">
        <f>19928.29-D1784</f>
        <v>19749.100000000002</v>
      </c>
      <c r="F1784" s="212">
        <f t="shared" ref="F1784" si="97">D1784+E1784</f>
        <v>19928.29</v>
      </c>
      <c r="G1784" s="218">
        <f>C1784-D1784-E1784</f>
        <v>39698.03</v>
      </c>
    </row>
    <row r="1785" spans="2:13" ht="15.75" thickBot="1" x14ac:dyDescent="0.3">
      <c r="B1785" s="214"/>
      <c r="C1785" s="215"/>
      <c r="D1785" s="234"/>
      <c r="E1785" s="213"/>
      <c r="F1785" s="213"/>
      <c r="G1785" s="219"/>
    </row>
    <row r="1786" spans="2:13" x14ac:dyDescent="0.25">
      <c r="B1786" s="214" t="s">
        <v>32</v>
      </c>
      <c r="C1786" s="215">
        <v>154376.49</v>
      </c>
      <c r="D1786" s="216">
        <v>36263.32</v>
      </c>
      <c r="E1786" s="212">
        <f>47745.6-D1786</f>
        <v>11482.279999999999</v>
      </c>
      <c r="F1786" s="212">
        <f t="shared" ref="F1786" si="98">D1786+E1786</f>
        <v>47745.599999999999</v>
      </c>
      <c r="G1786" s="218">
        <f>C1786-D1786-E1786</f>
        <v>106630.88999999998</v>
      </c>
    </row>
    <row r="1787" spans="2:13" ht="15.75" thickBot="1" x14ac:dyDescent="0.3">
      <c r="B1787" s="214"/>
      <c r="C1787" s="215"/>
      <c r="D1787" s="234"/>
      <c r="E1787" s="213"/>
      <c r="F1787" s="213"/>
      <c r="G1787" s="219"/>
    </row>
    <row r="1788" spans="2:13" x14ac:dyDescent="0.25">
      <c r="B1788" s="214" t="s">
        <v>33</v>
      </c>
      <c r="C1788" s="215">
        <v>34412</v>
      </c>
      <c r="D1788" s="216">
        <v>5357.02</v>
      </c>
      <c r="E1788" s="212">
        <f>5357.02-D1788</f>
        <v>0</v>
      </c>
      <c r="F1788" s="212">
        <f t="shared" ref="F1788" si="99">D1788+E1788</f>
        <v>5357.02</v>
      </c>
      <c r="G1788" s="218">
        <f>C1788-D1788-E1788</f>
        <v>29054.98</v>
      </c>
    </row>
    <row r="1789" spans="2:13" ht="15.75" thickBot="1" x14ac:dyDescent="0.3">
      <c r="B1789" s="214"/>
      <c r="C1789" s="215"/>
      <c r="D1789" s="234"/>
      <c r="E1789" s="213"/>
      <c r="F1789" s="213"/>
      <c r="G1789" s="219"/>
    </row>
    <row r="1790" spans="2:13" x14ac:dyDescent="0.25">
      <c r="B1790" s="214" t="s">
        <v>34</v>
      </c>
      <c r="C1790" s="215">
        <v>0</v>
      </c>
      <c r="D1790" s="216">
        <v>0</v>
      </c>
      <c r="E1790" s="212">
        <f>-D1790</f>
        <v>0</v>
      </c>
      <c r="F1790" s="212">
        <f t="shared" ref="F1790" si="100">D1790+E1790</f>
        <v>0</v>
      </c>
      <c r="G1790" s="218">
        <f>C1790-D1790-E1790</f>
        <v>0</v>
      </c>
    </row>
    <row r="1791" spans="2:13" ht="15.75" thickBot="1" x14ac:dyDescent="0.3">
      <c r="B1791" s="214"/>
      <c r="C1791" s="215"/>
      <c r="D1791" s="234"/>
      <c r="E1791" s="213"/>
      <c r="F1791" s="213"/>
      <c r="G1791" s="219"/>
    </row>
    <row r="1792" spans="2:13" x14ac:dyDescent="0.25">
      <c r="B1792" s="214" t="s">
        <v>35</v>
      </c>
      <c r="C1792" s="215">
        <v>0</v>
      </c>
      <c r="D1792" s="216">
        <v>0</v>
      </c>
      <c r="E1792" s="212">
        <f>-D1792</f>
        <v>0</v>
      </c>
      <c r="F1792" s="212">
        <f t="shared" ref="F1792" si="101">D1792+E1792</f>
        <v>0</v>
      </c>
      <c r="G1792" s="218">
        <f>C1792-D1792-E1792</f>
        <v>0</v>
      </c>
    </row>
    <row r="1793" spans="2:13" ht="15.75" thickBot="1" x14ac:dyDescent="0.3">
      <c r="B1793" s="214"/>
      <c r="C1793" s="215"/>
      <c r="D1793" s="234"/>
      <c r="E1793" s="213"/>
      <c r="F1793" s="213"/>
      <c r="G1793" s="219"/>
    </row>
    <row r="1794" spans="2:13" ht="30.75" thickBot="1" x14ac:dyDescent="0.3">
      <c r="B1794" s="214" t="s">
        <v>36</v>
      </c>
      <c r="C1794" s="215">
        <v>0</v>
      </c>
      <c r="D1794" s="216">
        <v>0</v>
      </c>
      <c r="E1794" s="212">
        <f>-D1794</f>
        <v>0</v>
      </c>
      <c r="F1794" s="212">
        <f t="shared" ref="F1794" si="102">D1794+E1794</f>
        <v>0</v>
      </c>
      <c r="G1794" s="218">
        <f>C1794-D1794-E1794</f>
        <v>0</v>
      </c>
      <c r="H1794" s="155" t="s">
        <v>67</v>
      </c>
      <c r="I1794" s="154" t="s">
        <v>60</v>
      </c>
      <c r="J1794" s="120" t="s">
        <v>61</v>
      </c>
      <c r="K1794" s="126" t="s">
        <v>66</v>
      </c>
      <c r="L1794" s="133" t="s">
        <v>62</v>
      </c>
      <c r="M1794" s="137" t="s">
        <v>63</v>
      </c>
    </row>
    <row r="1795" spans="2:13" ht="15.75" thickBot="1" x14ac:dyDescent="0.3">
      <c r="B1795" s="220"/>
      <c r="C1795" s="221"/>
      <c r="D1795" s="244"/>
      <c r="E1795" s="213"/>
      <c r="F1795" s="213"/>
      <c r="G1795" s="219"/>
      <c r="H1795" s="62">
        <v>100</v>
      </c>
      <c r="I1795" s="63">
        <f>I1796*100/H1796</f>
        <v>38.880134319525695</v>
      </c>
      <c r="J1795" s="63">
        <f>J1796*100/H1796</f>
        <v>8.2074572556305512</v>
      </c>
      <c r="K1795" s="64">
        <f>(D1796+E1796)*100/C1796</f>
        <v>47.087591575156246</v>
      </c>
      <c r="L1795" s="91">
        <f>G1796*100/C1796</f>
        <v>52.912408424843754</v>
      </c>
      <c r="M1795" s="112">
        <f>M1796*100/H1796</f>
        <v>61.119865680474312</v>
      </c>
    </row>
    <row r="1796" spans="2:13" ht="15.75" thickBot="1" x14ac:dyDescent="0.3">
      <c r="B1796" s="14" t="s">
        <v>22</v>
      </c>
      <c r="C1796" s="15">
        <f>SUM(C1780:C1795)</f>
        <v>1253155.1100000001</v>
      </c>
      <c r="D1796" s="15">
        <f>SUM(D1780:D1794)</f>
        <v>487228.39</v>
      </c>
      <c r="E1796" s="16">
        <f>SUM(E1780:E1795)</f>
        <v>102852.17000000001</v>
      </c>
      <c r="F1796" s="16">
        <f>D1796+E1796</f>
        <v>590080.56000000006</v>
      </c>
      <c r="G1796" s="46">
        <f>C1796-D1796-E1796</f>
        <v>663074.55000000005</v>
      </c>
      <c r="H1796" s="80">
        <f>K1796+L1796</f>
        <v>1253155.1100000001</v>
      </c>
      <c r="I1796" s="81">
        <f>+D1796</f>
        <v>487228.39</v>
      </c>
      <c r="J1796" s="81">
        <f>+E1796</f>
        <v>102852.17000000001</v>
      </c>
      <c r="K1796" s="82">
        <f>D1796+E1796</f>
        <v>590080.56000000006</v>
      </c>
      <c r="L1796" s="95">
        <f>+G1796</f>
        <v>663074.55000000005</v>
      </c>
      <c r="M1796" s="97">
        <f>H1796-I1796</f>
        <v>765926.72000000009</v>
      </c>
    </row>
    <row r="1797" spans="2:13" ht="15.75" thickBot="1" x14ac:dyDescent="0.3">
      <c r="B1797" s="17" t="s">
        <v>23</v>
      </c>
      <c r="C1797" s="18">
        <f>C1779+C1796</f>
        <v>1814761.34</v>
      </c>
      <c r="D1797" s="19">
        <f>D1796+D1779</f>
        <v>939888.09000000008</v>
      </c>
      <c r="E1797" s="20">
        <f>E1779+E1796</f>
        <v>121717.74</v>
      </c>
      <c r="F1797" s="16">
        <f>D1797+E1797</f>
        <v>1061605.83</v>
      </c>
      <c r="G1797" s="28">
        <f>C1797-D1797-E1797</f>
        <v>753155.51</v>
      </c>
      <c r="H1797" s="50">
        <f>+C1797</f>
        <v>1814761.34</v>
      </c>
      <c r="I1797" s="51">
        <f>+D1797</f>
        <v>939888.09000000008</v>
      </c>
      <c r="J1797" s="51">
        <f>+E1797</f>
        <v>121717.74</v>
      </c>
      <c r="K1797" s="51">
        <f>I1797+J1797</f>
        <v>1061605.83</v>
      </c>
      <c r="L1797" s="100">
        <f>H1797-K1797</f>
        <v>753155.51</v>
      </c>
      <c r="M1797" s="97">
        <f>H1797-I1797</f>
        <v>874873.25</v>
      </c>
    </row>
    <row r="1798" spans="2:13" ht="15.75" thickBot="1" x14ac:dyDescent="0.3">
      <c r="B1798" s="12"/>
      <c r="C1798" s="13"/>
      <c r="D1798" s="12"/>
      <c r="E1798" s="12"/>
      <c r="F1798" s="12"/>
      <c r="G1798" s="12"/>
      <c r="H1798" s="129">
        <v>100</v>
      </c>
      <c r="I1798" s="130">
        <f>I1797*100/H1797</f>
        <v>51.791277964958198</v>
      </c>
      <c r="J1798" s="130">
        <f>J1797*100/H1797</f>
        <v>6.7070935068519804</v>
      </c>
      <c r="K1798" s="130">
        <f>K1797*100/H1797</f>
        <v>58.498371471810167</v>
      </c>
      <c r="L1798" s="131">
        <f>L1797*100/H1797</f>
        <v>41.501628528189826</v>
      </c>
      <c r="M1798" s="132">
        <f>M1797*100/H1797</f>
        <v>48.208722035041809</v>
      </c>
    </row>
    <row r="1799" spans="2:13" x14ac:dyDescent="0.25">
      <c r="B1799" s="12"/>
      <c r="C1799" s="13"/>
      <c r="D1799" s="12"/>
      <c r="E1799" s="12"/>
      <c r="F1799" s="12"/>
      <c r="G1799" s="12"/>
    </row>
    <row r="1800" spans="2:13" x14ac:dyDescent="0.25">
      <c r="B1800" s="12"/>
      <c r="C1800" s="13"/>
      <c r="D1800" s="12"/>
      <c r="E1800" s="12"/>
      <c r="F1800" s="12"/>
      <c r="G1800" s="12"/>
    </row>
    <row r="1801" spans="2:13" x14ac:dyDescent="0.25">
      <c r="B1801" s="12"/>
      <c r="C1801" s="13"/>
      <c r="D1801" s="12"/>
      <c r="E1801" s="12"/>
      <c r="F1801" s="12"/>
      <c r="G1801" s="12"/>
    </row>
    <row r="1802" spans="2:13" x14ac:dyDescent="0.25">
      <c r="B1802" s="12"/>
      <c r="C1802" s="13"/>
      <c r="D1802" s="12"/>
      <c r="E1802" s="12"/>
      <c r="F1802" s="12"/>
      <c r="G1802" s="12"/>
    </row>
    <row r="1803" spans="2:13" x14ac:dyDescent="0.25">
      <c r="B1803" s="12"/>
      <c r="C1803" s="13"/>
      <c r="D1803" s="12"/>
      <c r="E1803" s="12"/>
      <c r="F1803" s="12"/>
      <c r="G1803" s="12"/>
    </row>
    <row r="1804" spans="2:13" x14ac:dyDescent="0.25">
      <c r="B1804" s="12"/>
      <c r="C1804" s="13"/>
      <c r="D1804" s="12"/>
      <c r="E1804" s="12"/>
      <c r="F1804" s="12"/>
      <c r="G1804" s="12"/>
    </row>
    <row r="1805" spans="2:13" x14ac:dyDescent="0.25">
      <c r="B1805" s="12"/>
      <c r="C1805" s="13"/>
      <c r="D1805" s="12"/>
      <c r="E1805" s="12"/>
      <c r="F1805" s="12"/>
      <c r="G1805" s="12"/>
    </row>
    <row r="1806" spans="2:13" x14ac:dyDescent="0.25">
      <c r="B1806" s="12"/>
      <c r="C1806" s="13"/>
      <c r="D1806" s="12"/>
      <c r="E1806" s="12"/>
      <c r="F1806" s="12"/>
      <c r="G1806" s="12"/>
    </row>
    <row r="1807" spans="2:13" x14ac:dyDescent="0.25">
      <c r="B1807" s="12"/>
      <c r="C1807" s="13"/>
      <c r="D1807" s="12"/>
      <c r="E1807" s="12"/>
      <c r="F1807" s="12"/>
      <c r="G1807" s="12"/>
    </row>
    <row r="1808" spans="2:13" x14ac:dyDescent="0.25">
      <c r="B1808" s="12"/>
      <c r="C1808" s="13"/>
      <c r="D1808" s="12"/>
      <c r="E1808" s="12"/>
      <c r="F1808" s="12"/>
      <c r="G1808" s="12"/>
    </row>
    <row r="1809" spans="2:12" x14ac:dyDescent="0.25">
      <c r="B1809" s="12"/>
      <c r="C1809" s="13"/>
      <c r="D1809" s="12"/>
      <c r="E1809" s="12"/>
      <c r="F1809" s="12"/>
      <c r="G1809" s="12"/>
    </row>
    <row r="1810" spans="2:12" x14ac:dyDescent="0.25">
      <c r="B1810" s="12"/>
      <c r="C1810" s="13"/>
      <c r="D1810" s="12"/>
      <c r="E1810" s="12"/>
      <c r="F1810" s="12"/>
      <c r="G1810" s="12"/>
    </row>
    <row r="1811" spans="2:12" x14ac:dyDescent="0.25">
      <c r="B1811" s="12"/>
      <c r="C1811" s="13"/>
      <c r="D1811" s="12"/>
      <c r="E1811" s="12"/>
      <c r="F1811" s="12"/>
      <c r="G1811" s="12"/>
    </row>
    <row r="1812" spans="2:12" x14ac:dyDescent="0.25">
      <c r="B1812" s="12"/>
      <c r="C1812" s="13"/>
      <c r="D1812" s="12"/>
      <c r="E1812" s="12"/>
      <c r="F1812" s="12"/>
      <c r="G1812" s="12"/>
    </row>
    <row r="1813" spans="2:12" x14ac:dyDescent="0.25">
      <c r="B1813" s="12"/>
      <c r="C1813" s="13"/>
      <c r="D1813" s="12"/>
      <c r="E1813" s="12"/>
      <c r="F1813" s="12"/>
      <c r="G1813" s="12"/>
    </row>
    <row r="1814" spans="2:12" x14ac:dyDescent="0.25">
      <c r="B1814" s="12"/>
      <c r="C1814" s="13"/>
      <c r="D1814" s="12"/>
      <c r="E1814" s="12"/>
      <c r="F1814" s="12"/>
      <c r="G1814" s="12"/>
    </row>
    <row r="1815" spans="2:12" x14ac:dyDescent="0.25">
      <c r="B1815" s="225" t="s">
        <v>0</v>
      </c>
      <c r="C1815" s="225"/>
      <c r="D1815" s="225"/>
      <c r="E1815" s="225"/>
      <c r="F1815" s="225"/>
      <c r="G1815" s="225"/>
    </row>
    <row r="1816" spans="2:12" x14ac:dyDescent="0.25">
      <c r="B1816" s="225" t="s">
        <v>1</v>
      </c>
      <c r="C1816" s="225"/>
      <c r="D1816" s="225"/>
      <c r="E1816" s="225"/>
      <c r="F1816" s="225"/>
      <c r="G1816" s="225"/>
    </row>
    <row r="1817" spans="2:12" x14ac:dyDescent="0.25">
      <c r="B1817" s="225" t="s">
        <v>45</v>
      </c>
      <c r="C1817" s="225"/>
      <c r="D1817" s="225"/>
      <c r="E1817" s="225"/>
      <c r="F1817" s="225"/>
      <c r="G1817" s="225"/>
    </row>
    <row r="1818" spans="2:12" x14ac:dyDescent="0.25">
      <c r="B1818" s="225" t="s">
        <v>48</v>
      </c>
      <c r="C1818" s="225"/>
      <c r="D1818" s="225"/>
      <c r="E1818" s="225"/>
      <c r="F1818" s="225"/>
      <c r="G1818" s="225"/>
    </row>
    <row r="1819" spans="2:12" x14ac:dyDescent="0.25">
      <c r="B1819" s="225" t="s">
        <v>124</v>
      </c>
      <c r="C1819" s="225"/>
      <c r="D1819" s="225"/>
      <c r="E1819" s="225"/>
      <c r="F1819" s="225"/>
      <c r="G1819" s="225"/>
    </row>
    <row r="1820" spans="2:12" ht="15.75" thickBot="1" x14ac:dyDescent="0.3">
      <c r="B1820" s="12"/>
      <c r="C1820" s="13"/>
      <c r="D1820" s="12"/>
      <c r="E1820" s="12"/>
      <c r="F1820" s="12"/>
      <c r="G1820" s="12"/>
    </row>
    <row r="1821" spans="2:12" ht="36.75" thickBot="1" x14ac:dyDescent="0.3">
      <c r="B1821" s="185"/>
      <c r="C1821" s="184" t="s">
        <v>5</v>
      </c>
      <c r="D1821" s="161" t="s">
        <v>72</v>
      </c>
      <c r="E1821" s="172" t="s">
        <v>6</v>
      </c>
      <c r="F1821" s="161" t="s">
        <v>60</v>
      </c>
      <c r="G1821" s="172" t="s">
        <v>7</v>
      </c>
      <c r="H1821" s="180" t="s">
        <v>98</v>
      </c>
      <c r="I1821" s="172" t="s">
        <v>65</v>
      </c>
      <c r="J1821" s="180" t="s">
        <v>99</v>
      </c>
      <c r="K1821" s="177" t="s">
        <v>8</v>
      </c>
      <c r="L1821" s="181" t="s">
        <v>100</v>
      </c>
    </row>
    <row r="1822" spans="2:12" ht="30.75" thickBot="1" x14ac:dyDescent="0.3">
      <c r="B1822" s="186" t="s">
        <v>111</v>
      </c>
      <c r="C1822" s="182">
        <v>1814761.34</v>
      </c>
      <c r="D1822" s="174">
        <v>1</v>
      </c>
      <c r="E1822" s="170">
        <v>939888.09</v>
      </c>
      <c r="F1822" s="175">
        <f>E1822/C1822</f>
        <v>0.51791277964958182</v>
      </c>
      <c r="G1822" s="170">
        <v>121717.74</v>
      </c>
      <c r="H1822" s="175">
        <f>G1822/C1822</f>
        <v>6.7070935068519813E-2</v>
      </c>
      <c r="I1822" s="170">
        <f>E1822+G1822</f>
        <v>1061605.83</v>
      </c>
      <c r="J1822" s="175">
        <f>I1822/C1822</f>
        <v>0.58498371471810173</v>
      </c>
      <c r="K1822" s="189">
        <f>C1822-I1822</f>
        <v>753155.51</v>
      </c>
      <c r="L1822" s="190">
        <f>K1822/C1822</f>
        <v>0.41501628528189827</v>
      </c>
    </row>
    <row r="1823" spans="2:12" x14ac:dyDescent="0.25">
      <c r="B1823" s="12"/>
      <c r="C1823" s="13"/>
      <c r="D1823" s="12"/>
      <c r="E1823" s="12"/>
      <c r="F1823" s="12"/>
      <c r="G1823" s="12"/>
    </row>
    <row r="1824" spans="2:12" x14ac:dyDescent="0.25">
      <c r="B1824" s="12"/>
      <c r="C1824" s="13"/>
      <c r="D1824" s="12"/>
      <c r="E1824" s="12"/>
      <c r="F1824" s="12"/>
      <c r="G1824" s="12"/>
    </row>
    <row r="1825" spans="2:7" x14ac:dyDescent="0.25">
      <c r="B1825" s="12"/>
      <c r="C1825" s="13"/>
      <c r="D1825" s="12"/>
      <c r="E1825" s="12"/>
      <c r="F1825" s="12"/>
      <c r="G1825" s="12"/>
    </row>
    <row r="1826" spans="2:7" x14ac:dyDescent="0.25">
      <c r="B1826" s="12"/>
      <c r="C1826" s="13"/>
      <c r="D1826" s="12"/>
      <c r="E1826" s="12"/>
      <c r="F1826" s="12"/>
      <c r="G1826" s="12"/>
    </row>
    <row r="1827" spans="2:7" x14ac:dyDescent="0.25">
      <c r="B1827" s="12"/>
      <c r="C1827" s="13"/>
      <c r="D1827" s="12"/>
      <c r="E1827" s="12"/>
      <c r="F1827" s="12"/>
      <c r="G1827" s="12"/>
    </row>
    <row r="1828" spans="2:7" x14ac:dyDescent="0.25">
      <c r="B1828" s="12"/>
      <c r="C1828" s="13"/>
      <c r="D1828" s="12"/>
      <c r="E1828" s="12"/>
      <c r="F1828" s="12"/>
      <c r="G1828" s="12"/>
    </row>
    <row r="1829" spans="2:7" x14ac:dyDescent="0.25">
      <c r="B1829" s="12"/>
      <c r="C1829" s="13"/>
      <c r="D1829" s="12"/>
      <c r="E1829" s="12"/>
      <c r="F1829" s="12"/>
      <c r="G1829" s="12"/>
    </row>
    <row r="1830" spans="2:7" x14ac:dyDescent="0.25">
      <c r="B1830" s="12"/>
      <c r="C1830" s="13"/>
      <c r="D1830" s="12"/>
      <c r="E1830" s="12"/>
      <c r="F1830" s="12"/>
      <c r="G1830" s="12"/>
    </row>
    <row r="1831" spans="2:7" x14ac:dyDescent="0.25">
      <c r="B1831" s="12"/>
      <c r="C1831" s="13"/>
      <c r="D1831" s="12"/>
      <c r="E1831" s="12"/>
      <c r="F1831" s="12"/>
      <c r="G1831" s="12"/>
    </row>
    <row r="1832" spans="2:7" x14ac:dyDescent="0.25">
      <c r="B1832" s="12"/>
      <c r="C1832" s="13"/>
      <c r="D1832" s="12"/>
      <c r="E1832" s="12"/>
      <c r="F1832" s="12"/>
      <c r="G1832" s="12"/>
    </row>
    <row r="1833" spans="2:7" x14ac:dyDescent="0.25">
      <c r="B1833" s="12"/>
      <c r="C1833" s="13"/>
      <c r="D1833" s="12"/>
      <c r="E1833" s="12"/>
      <c r="F1833" s="12"/>
      <c r="G1833" s="12"/>
    </row>
    <row r="1834" spans="2:7" x14ac:dyDescent="0.25">
      <c r="B1834" s="12"/>
      <c r="C1834" s="13"/>
      <c r="D1834" s="12"/>
      <c r="E1834" s="12"/>
      <c r="F1834" s="12"/>
      <c r="G1834" s="12"/>
    </row>
    <row r="1835" spans="2:7" x14ac:dyDescent="0.25">
      <c r="B1835" s="12"/>
      <c r="C1835" s="13"/>
      <c r="D1835" s="12"/>
      <c r="E1835" s="12"/>
      <c r="F1835" s="12"/>
      <c r="G1835" s="12"/>
    </row>
    <row r="1836" spans="2:7" x14ac:dyDescent="0.25">
      <c r="B1836" s="12"/>
      <c r="C1836" s="13"/>
      <c r="D1836" s="12"/>
      <c r="E1836" s="12"/>
      <c r="F1836" s="12"/>
      <c r="G1836" s="12"/>
    </row>
    <row r="1837" spans="2:7" x14ac:dyDescent="0.25">
      <c r="B1837" s="12"/>
      <c r="C1837" s="13"/>
      <c r="D1837" s="12"/>
      <c r="E1837" s="12"/>
      <c r="F1837" s="12"/>
      <c r="G1837" s="12"/>
    </row>
    <row r="1838" spans="2:7" x14ac:dyDescent="0.25">
      <c r="B1838" s="12"/>
      <c r="C1838" s="13"/>
      <c r="D1838" s="12"/>
      <c r="E1838" s="12"/>
      <c r="F1838" s="12"/>
      <c r="G1838" s="12"/>
    </row>
    <row r="1839" spans="2:7" x14ac:dyDescent="0.25">
      <c r="B1839" s="12"/>
      <c r="C1839" s="13"/>
      <c r="D1839" s="12"/>
      <c r="E1839" s="12"/>
      <c r="F1839" s="12"/>
      <c r="G1839" s="12"/>
    </row>
    <row r="1840" spans="2:7" x14ac:dyDescent="0.25">
      <c r="B1840" s="12"/>
      <c r="C1840" s="13"/>
      <c r="D1840" s="12"/>
      <c r="E1840" s="12"/>
      <c r="F1840" s="12"/>
      <c r="G1840" s="12"/>
    </row>
    <row r="1841" spans="2:7" x14ac:dyDescent="0.25">
      <c r="B1841" s="12"/>
      <c r="C1841" s="13"/>
      <c r="D1841" s="12"/>
      <c r="E1841" s="12"/>
      <c r="F1841" s="12"/>
      <c r="G1841" s="12"/>
    </row>
    <row r="1842" spans="2:7" x14ac:dyDescent="0.25">
      <c r="B1842" s="12"/>
      <c r="C1842" s="13"/>
      <c r="D1842" s="12"/>
      <c r="E1842" s="12"/>
      <c r="F1842" s="12"/>
      <c r="G1842" s="12"/>
    </row>
    <row r="1843" spans="2:7" x14ac:dyDescent="0.25">
      <c r="B1843" s="12"/>
      <c r="C1843" s="13"/>
      <c r="D1843" s="12"/>
      <c r="E1843" s="12"/>
      <c r="F1843" s="12"/>
      <c r="G1843" s="12"/>
    </row>
    <row r="1844" spans="2:7" x14ac:dyDescent="0.25">
      <c r="B1844" s="12"/>
      <c r="C1844" s="13"/>
      <c r="D1844" s="12"/>
      <c r="E1844" s="12"/>
      <c r="F1844" s="12"/>
      <c r="G1844" s="12"/>
    </row>
    <row r="1845" spans="2:7" x14ac:dyDescent="0.25">
      <c r="B1845" s="12"/>
      <c r="C1845" s="13"/>
      <c r="D1845" s="12"/>
      <c r="E1845" s="12"/>
      <c r="F1845" s="12"/>
      <c r="G1845" s="12"/>
    </row>
    <row r="1846" spans="2:7" x14ac:dyDescent="0.25">
      <c r="B1846" s="12"/>
      <c r="C1846" s="13"/>
      <c r="D1846" s="12"/>
      <c r="E1846" s="12"/>
      <c r="F1846" s="12"/>
      <c r="G1846" s="12"/>
    </row>
    <row r="1847" spans="2:7" x14ac:dyDescent="0.25">
      <c r="B1847" s="12"/>
      <c r="C1847" s="13"/>
      <c r="D1847" s="12"/>
      <c r="E1847" s="12"/>
      <c r="F1847" s="12"/>
      <c r="G1847" s="12"/>
    </row>
    <row r="1848" spans="2:7" x14ac:dyDescent="0.25">
      <c r="B1848" s="12"/>
      <c r="C1848" s="13"/>
      <c r="D1848" s="12"/>
      <c r="E1848" s="12"/>
      <c r="F1848" s="12"/>
      <c r="G1848" s="12"/>
    </row>
    <row r="1849" spans="2:7" x14ac:dyDescent="0.25">
      <c r="B1849" s="12"/>
      <c r="C1849" s="13"/>
      <c r="D1849" s="12"/>
      <c r="E1849" s="12"/>
      <c r="F1849" s="12"/>
      <c r="G1849" s="12"/>
    </row>
    <row r="1850" spans="2:7" x14ac:dyDescent="0.25">
      <c r="B1850" s="12"/>
      <c r="C1850" s="13"/>
      <c r="D1850" s="12"/>
      <c r="E1850" s="12"/>
      <c r="F1850" s="12"/>
      <c r="G1850" s="12"/>
    </row>
    <row r="1851" spans="2:7" x14ac:dyDescent="0.25">
      <c r="B1851" s="12"/>
      <c r="C1851" s="13"/>
      <c r="D1851" s="12"/>
      <c r="E1851" s="12"/>
      <c r="F1851" s="12"/>
      <c r="G1851" s="12"/>
    </row>
    <row r="1852" spans="2:7" x14ac:dyDescent="0.25">
      <c r="B1852" s="12"/>
      <c r="C1852" s="13"/>
      <c r="D1852" s="12"/>
      <c r="E1852" s="12"/>
      <c r="F1852" s="12"/>
      <c r="G1852" s="12"/>
    </row>
    <row r="1853" spans="2:7" x14ac:dyDescent="0.25">
      <c r="B1853" s="12"/>
      <c r="C1853" s="13"/>
      <c r="D1853" s="12"/>
      <c r="E1853" s="12"/>
      <c r="F1853" s="12"/>
      <c r="G1853" s="12"/>
    </row>
    <row r="1854" spans="2:7" x14ac:dyDescent="0.25">
      <c r="B1854" s="12"/>
      <c r="C1854" s="13"/>
      <c r="D1854" s="12"/>
      <c r="E1854" s="12"/>
      <c r="F1854" s="12"/>
      <c r="G1854" s="12"/>
    </row>
    <row r="1855" spans="2:7" x14ac:dyDescent="0.25">
      <c r="B1855" s="12"/>
      <c r="C1855" s="13"/>
      <c r="D1855" s="12"/>
      <c r="E1855" s="12"/>
      <c r="F1855" s="12"/>
      <c r="G1855" s="12"/>
    </row>
    <row r="1856" spans="2:7" x14ac:dyDescent="0.25">
      <c r="B1856" s="12"/>
      <c r="C1856" s="13"/>
      <c r="D1856" s="12"/>
      <c r="E1856" s="12"/>
      <c r="F1856" s="12"/>
      <c r="G1856" s="12"/>
    </row>
    <row r="1857" spans="2:7" x14ac:dyDescent="0.25">
      <c r="B1857" s="12"/>
      <c r="C1857" s="13"/>
      <c r="D1857" s="12"/>
      <c r="E1857" s="12"/>
      <c r="F1857" s="12"/>
      <c r="G1857" s="12"/>
    </row>
    <row r="1858" spans="2:7" x14ac:dyDescent="0.25">
      <c r="B1858" s="12"/>
      <c r="C1858" s="13"/>
      <c r="D1858" s="12"/>
      <c r="E1858" s="12"/>
      <c r="F1858" s="12"/>
      <c r="G1858" s="12"/>
    </row>
    <row r="1859" spans="2:7" x14ac:dyDescent="0.25">
      <c r="B1859" s="12"/>
      <c r="C1859" s="13"/>
      <c r="D1859" s="12"/>
      <c r="E1859" s="12"/>
      <c r="F1859" s="12"/>
      <c r="G1859" s="12"/>
    </row>
    <row r="1860" spans="2:7" x14ac:dyDescent="0.25">
      <c r="B1860" s="12"/>
      <c r="C1860" s="13"/>
      <c r="D1860" s="12"/>
      <c r="E1860" s="12"/>
      <c r="F1860" s="12"/>
      <c r="G1860" s="12"/>
    </row>
    <row r="1861" spans="2:7" x14ac:dyDescent="0.25">
      <c r="B1861" s="12"/>
      <c r="C1861" s="13"/>
      <c r="D1861" s="12"/>
      <c r="E1861" s="12"/>
      <c r="F1861" s="12"/>
      <c r="G1861" s="12"/>
    </row>
    <row r="1862" spans="2:7" x14ac:dyDescent="0.25">
      <c r="B1862" s="12"/>
      <c r="C1862" s="13"/>
      <c r="D1862" s="12"/>
      <c r="E1862" s="12"/>
      <c r="F1862" s="12"/>
      <c r="G1862" s="12"/>
    </row>
    <row r="1863" spans="2:7" x14ac:dyDescent="0.25">
      <c r="B1863" s="12"/>
      <c r="C1863" s="13"/>
      <c r="D1863" s="12"/>
      <c r="E1863" s="12"/>
      <c r="F1863" s="12"/>
      <c r="G1863" s="12"/>
    </row>
    <row r="1864" spans="2:7" x14ac:dyDescent="0.25">
      <c r="B1864" s="12"/>
      <c r="C1864" s="13"/>
      <c r="D1864" s="12"/>
      <c r="E1864" s="12"/>
      <c r="F1864" s="12"/>
      <c r="G1864" s="12"/>
    </row>
    <row r="1865" spans="2:7" x14ac:dyDescent="0.25">
      <c r="B1865" s="12"/>
      <c r="C1865" s="13"/>
      <c r="D1865" s="12"/>
      <c r="E1865" s="12"/>
      <c r="F1865" s="12"/>
      <c r="G1865" s="12"/>
    </row>
    <row r="1866" spans="2:7" x14ac:dyDescent="0.25">
      <c r="B1866" s="12"/>
      <c r="C1866" s="13"/>
      <c r="D1866" s="12"/>
      <c r="E1866" s="12"/>
      <c r="F1866" s="12"/>
      <c r="G1866" s="12"/>
    </row>
    <row r="1867" spans="2:7" x14ac:dyDescent="0.25">
      <c r="B1867" s="12"/>
      <c r="C1867" s="13"/>
      <c r="D1867" s="12"/>
      <c r="E1867" s="12"/>
      <c r="F1867" s="12"/>
      <c r="G1867" s="12"/>
    </row>
    <row r="1868" spans="2:7" x14ac:dyDescent="0.25">
      <c r="B1868" s="225" t="s">
        <v>0</v>
      </c>
      <c r="C1868" s="225"/>
      <c r="D1868" s="225"/>
      <c r="E1868" s="225"/>
      <c r="F1868" s="225"/>
      <c r="G1868" s="225"/>
    </row>
    <row r="1869" spans="2:7" x14ac:dyDescent="0.25">
      <c r="B1869" s="225" t="s">
        <v>1</v>
      </c>
      <c r="C1869" s="225"/>
      <c r="D1869" s="225"/>
      <c r="E1869" s="225"/>
      <c r="F1869" s="225"/>
      <c r="G1869" s="225"/>
    </row>
    <row r="1870" spans="2:7" x14ac:dyDescent="0.25">
      <c r="B1870" s="225" t="s">
        <v>37</v>
      </c>
      <c r="C1870" s="225"/>
      <c r="D1870" s="225"/>
      <c r="E1870" s="225"/>
      <c r="F1870" s="225"/>
      <c r="G1870" s="225"/>
    </row>
    <row r="1871" spans="2:7" x14ac:dyDescent="0.25">
      <c r="B1871" s="225" t="s">
        <v>49</v>
      </c>
      <c r="C1871" s="225"/>
      <c r="D1871" s="225"/>
      <c r="E1871" s="225"/>
      <c r="F1871" s="225"/>
      <c r="G1871" s="225"/>
    </row>
    <row r="1872" spans="2:7" x14ac:dyDescent="0.25">
      <c r="B1872" s="225" t="s">
        <v>124</v>
      </c>
      <c r="C1872" s="225"/>
      <c r="D1872" s="225"/>
      <c r="E1872" s="225"/>
      <c r="F1872" s="225"/>
      <c r="G1872" s="225"/>
    </row>
    <row r="1873" spans="2:13" x14ac:dyDescent="0.25">
      <c r="B1873" s="159"/>
      <c r="C1873" s="159"/>
      <c r="D1873" s="159"/>
      <c r="E1873" s="159"/>
      <c r="F1873" s="159"/>
      <c r="G1873" s="159"/>
    </row>
    <row r="1874" spans="2:13" ht="15.75" thickBot="1" x14ac:dyDescent="0.3">
      <c r="B1874" s="159"/>
      <c r="C1874" s="159"/>
      <c r="D1874" s="159"/>
      <c r="E1874" s="159"/>
      <c r="F1874" s="159"/>
      <c r="G1874" s="12"/>
    </row>
    <row r="1875" spans="2:13" ht="24.75" thickBot="1" x14ac:dyDescent="0.3">
      <c r="B1875" s="2" t="s">
        <v>4</v>
      </c>
      <c r="C1875" s="3" t="s">
        <v>5</v>
      </c>
      <c r="D1875" s="3" t="s">
        <v>6</v>
      </c>
      <c r="E1875" s="4" t="s">
        <v>7</v>
      </c>
      <c r="F1875" s="3" t="s">
        <v>65</v>
      </c>
      <c r="G1875" s="3" t="s">
        <v>8</v>
      </c>
    </row>
    <row r="1876" spans="2:13" x14ac:dyDescent="0.25">
      <c r="B1876" s="226" t="s">
        <v>25</v>
      </c>
      <c r="C1876" s="228">
        <v>577368.31000000006</v>
      </c>
      <c r="D1876" s="245">
        <v>489781.66</v>
      </c>
      <c r="E1876" s="229">
        <f>501458.7-D1876</f>
        <v>11677.040000000037</v>
      </c>
      <c r="F1876" s="228">
        <f>D1876+E1876</f>
        <v>501458.7</v>
      </c>
      <c r="G1876" s="228">
        <f>C1876-D1876-E1876</f>
        <v>75909.610000000044</v>
      </c>
    </row>
    <row r="1877" spans="2:13" ht="15.75" thickBot="1" x14ac:dyDescent="0.3">
      <c r="B1877" s="227"/>
      <c r="C1877" s="215"/>
      <c r="D1877" s="234"/>
      <c r="E1877" s="230"/>
      <c r="F1877" s="215"/>
      <c r="G1877" s="215"/>
    </row>
    <row r="1878" spans="2:13" x14ac:dyDescent="0.25">
      <c r="B1878" s="231" t="s">
        <v>26</v>
      </c>
      <c r="C1878" s="215">
        <v>217689.21</v>
      </c>
      <c r="D1878" s="216">
        <v>19867.3</v>
      </c>
      <c r="E1878" s="236">
        <f>34133.95-D1878</f>
        <v>14266.649999999998</v>
      </c>
      <c r="F1878" s="216">
        <f>D1878+E1878</f>
        <v>34133.949999999997</v>
      </c>
      <c r="G1878" s="228">
        <f>C1878-D1878-E1878</f>
        <v>183555.26</v>
      </c>
    </row>
    <row r="1879" spans="2:13" ht="15.75" thickBot="1" x14ac:dyDescent="0.3">
      <c r="B1879" s="231"/>
      <c r="C1879" s="215"/>
      <c r="D1879" s="234"/>
      <c r="E1879" s="263"/>
      <c r="F1879" s="217"/>
      <c r="G1879" s="215"/>
    </row>
    <row r="1880" spans="2:13" x14ac:dyDescent="0.25">
      <c r="B1880" s="231" t="s">
        <v>27</v>
      </c>
      <c r="C1880" s="215">
        <v>0</v>
      </c>
      <c r="D1880" s="216">
        <v>0</v>
      </c>
      <c r="E1880" s="236">
        <f>0-D1880</f>
        <v>0</v>
      </c>
      <c r="F1880" s="216">
        <f t="shared" ref="F1880" si="103">D1880+E1880</f>
        <v>0</v>
      </c>
      <c r="G1880" s="228">
        <f>C1880-D1880-E1880</f>
        <v>0</v>
      </c>
    </row>
    <row r="1881" spans="2:13" ht="15.75" thickBot="1" x14ac:dyDescent="0.3">
      <c r="B1881" s="231"/>
      <c r="C1881" s="215"/>
      <c r="D1881" s="234"/>
      <c r="E1881" s="263"/>
      <c r="F1881" s="217"/>
      <c r="G1881" s="215"/>
    </row>
    <row r="1882" spans="2:13" ht="30.75" thickBot="1" x14ac:dyDescent="0.3">
      <c r="B1882" s="231" t="s">
        <v>28</v>
      </c>
      <c r="C1882" s="215">
        <v>0</v>
      </c>
      <c r="D1882" s="216">
        <v>0</v>
      </c>
      <c r="E1882" s="236">
        <f>C1882-D1882</f>
        <v>0</v>
      </c>
      <c r="F1882" s="216">
        <f t="shared" ref="F1882" si="104">D1882+E1882</f>
        <v>0</v>
      </c>
      <c r="G1882" s="228">
        <f>C1882-D1882-E1882</f>
        <v>0</v>
      </c>
      <c r="H1882" s="155" t="s">
        <v>67</v>
      </c>
      <c r="I1882" s="154" t="s">
        <v>60</v>
      </c>
      <c r="J1882" s="120" t="s">
        <v>61</v>
      </c>
      <c r="K1882" s="126" t="s">
        <v>66</v>
      </c>
      <c r="L1882" s="133" t="s">
        <v>62</v>
      </c>
      <c r="M1882" s="137" t="s">
        <v>63</v>
      </c>
    </row>
    <row r="1883" spans="2:13" ht="15.75" thickBot="1" x14ac:dyDescent="0.3">
      <c r="B1883" s="232"/>
      <c r="C1883" s="216"/>
      <c r="D1883" s="244"/>
      <c r="E1883" s="264"/>
      <c r="F1883" s="217"/>
      <c r="G1883" s="240"/>
      <c r="H1883" s="58">
        <v>100</v>
      </c>
      <c r="I1883" s="59">
        <f>I1884*100/H1884</f>
        <v>64.102149489762695</v>
      </c>
      <c r="J1883" s="59">
        <f>J1884*100/H1884</f>
        <v>3.2631211387070507</v>
      </c>
      <c r="K1883" s="59">
        <f>K1884*100/H1884</f>
        <v>67.365270628469744</v>
      </c>
      <c r="L1883" s="98">
        <f>L1884*100/H1884</f>
        <v>32.634729371530248</v>
      </c>
      <c r="M1883" s="97">
        <f>M1884*100/H1884</f>
        <v>35.897850510237305</v>
      </c>
    </row>
    <row r="1884" spans="2:13" ht="15.75" thickBot="1" x14ac:dyDescent="0.3">
      <c r="B1884" s="14" t="s">
        <v>13</v>
      </c>
      <c r="C1884" s="21">
        <f>SUM(C1876:C1883)</f>
        <v>795057.52</v>
      </c>
      <c r="D1884" s="21">
        <f>SUM(D1876:D1883)</f>
        <v>509648.95999999996</v>
      </c>
      <c r="E1884" s="149">
        <f>SUM(E1876:E1883)</f>
        <v>25943.690000000035</v>
      </c>
      <c r="F1884" s="16">
        <f>SUM(F1876:F1883)</f>
        <v>535592.65</v>
      </c>
      <c r="G1884" s="46">
        <f>C1884-D1884-E1884</f>
        <v>259464.87000000002</v>
      </c>
      <c r="H1884" s="80">
        <f>+C1884</f>
        <v>795057.52</v>
      </c>
      <c r="I1884" s="82">
        <f>D1884</f>
        <v>509648.95999999996</v>
      </c>
      <c r="J1884" s="82">
        <f>+E1884</f>
        <v>25943.690000000035</v>
      </c>
      <c r="K1884" s="82">
        <f>I1884+J1884</f>
        <v>535592.65</v>
      </c>
      <c r="L1884" s="95">
        <f>H1884-K1884</f>
        <v>259464.87</v>
      </c>
      <c r="M1884" s="99">
        <f>H1884-I1884</f>
        <v>285408.56000000006</v>
      </c>
    </row>
    <row r="1885" spans="2:13" x14ac:dyDescent="0.25">
      <c r="B1885" s="224" t="s">
        <v>29</v>
      </c>
      <c r="C1885" s="234">
        <v>277075.71000000002</v>
      </c>
      <c r="D1885" s="245">
        <v>199166.57</v>
      </c>
      <c r="E1885" s="248">
        <f>208372.42-D1885</f>
        <v>9205.8500000000058</v>
      </c>
      <c r="F1885" s="212">
        <f t="shared" ref="F1885" si="105">D1885+E1885</f>
        <v>208372.42</v>
      </c>
      <c r="G1885" s="218">
        <f>C1885-D1885-E1885</f>
        <v>68703.290000000008</v>
      </c>
    </row>
    <row r="1886" spans="2:13" ht="15.75" thickBot="1" x14ac:dyDescent="0.3">
      <c r="B1886" s="214"/>
      <c r="C1886" s="215"/>
      <c r="D1886" s="234"/>
      <c r="E1886" s="249"/>
      <c r="F1886" s="213"/>
      <c r="G1886" s="219"/>
    </row>
    <row r="1887" spans="2:13" x14ac:dyDescent="0.25">
      <c r="B1887" s="214" t="s">
        <v>30</v>
      </c>
      <c r="C1887" s="215">
        <v>522748.86</v>
      </c>
      <c r="D1887" s="216">
        <v>116083.84</v>
      </c>
      <c r="E1887" s="212">
        <f>470829.54-D1887</f>
        <v>354745.69999999995</v>
      </c>
      <c r="F1887" s="212">
        <f t="shared" ref="F1887" si="106">D1887+E1887</f>
        <v>470829.53999999992</v>
      </c>
      <c r="G1887" s="218">
        <f>C1887-D1887-E1887</f>
        <v>51919.320000000065</v>
      </c>
    </row>
    <row r="1888" spans="2:13" ht="15.75" thickBot="1" x14ac:dyDescent="0.3">
      <c r="B1888" s="214"/>
      <c r="C1888" s="215"/>
      <c r="D1888" s="234"/>
      <c r="E1888" s="213"/>
      <c r="F1888" s="213"/>
      <c r="G1888" s="219"/>
    </row>
    <row r="1889" spans="2:13" x14ac:dyDescent="0.25">
      <c r="B1889" s="214" t="s">
        <v>31</v>
      </c>
      <c r="C1889" s="215">
        <v>0</v>
      </c>
      <c r="D1889" s="216">
        <v>0</v>
      </c>
      <c r="E1889" s="212">
        <f>0-D1889</f>
        <v>0</v>
      </c>
      <c r="F1889" s="212">
        <f t="shared" ref="F1889" si="107">D1889+E1889</f>
        <v>0</v>
      </c>
      <c r="G1889" s="218">
        <f>C1889-D1889-E1889</f>
        <v>0</v>
      </c>
    </row>
    <row r="1890" spans="2:13" ht="15.75" thickBot="1" x14ac:dyDescent="0.3">
      <c r="B1890" s="214"/>
      <c r="C1890" s="215"/>
      <c r="D1890" s="234"/>
      <c r="E1890" s="213"/>
      <c r="F1890" s="213"/>
      <c r="G1890" s="219"/>
    </row>
    <row r="1891" spans="2:13" x14ac:dyDescent="0.25">
      <c r="B1891" s="214" t="s">
        <v>32</v>
      </c>
      <c r="C1891" s="215">
        <v>129855.74</v>
      </c>
      <c r="D1891" s="216">
        <v>73291.5</v>
      </c>
      <c r="E1891" s="212">
        <f>105071.19-D1891</f>
        <v>31779.690000000002</v>
      </c>
      <c r="F1891" s="212">
        <f t="shared" ref="F1891" si="108">D1891+E1891</f>
        <v>105071.19</v>
      </c>
      <c r="G1891" s="218">
        <f>C1891-D1891-E1891</f>
        <v>24784.550000000003</v>
      </c>
    </row>
    <row r="1892" spans="2:13" ht="15.75" thickBot="1" x14ac:dyDescent="0.3">
      <c r="B1892" s="214"/>
      <c r="C1892" s="215"/>
      <c r="D1892" s="234"/>
      <c r="E1892" s="213"/>
      <c r="F1892" s="213"/>
      <c r="G1892" s="219"/>
    </row>
    <row r="1893" spans="2:13" x14ac:dyDescent="0.25">
      <c r="B1893" s="214" t="s">
        <v>33</v>
      </c>
      <c r="C1893" s="215">
        <v>700</v>
      </c>
      <c r="D1893" s="216">
        <v>0</v>
      </c>
      <c r="E1893" s="212">
        <f>0-D1893</f>
        <v>0</v>
      </c>
      <c r="F1893" s="212">
        <f t="shared" ref="F1893" si="109">D1893+E1893</f>
        <v>0</v>
      </c>
      <c r="G1893" s="218">
        <f>C1893-D1893-E1893</f>
        <v>700</v>
      </c>
    </row>
    <row r="1894" spans="2:13" ht="15.75" thickBot="1" x14ac:dyDescent="0.3">
      <c r="B1894" s="214"/>
      <c r="C1894" s="215"/>
      <c r="D1894" s="234"/>
      <c r="E1894" s="213"/>
      <c r="F1894" s="213"/>
      <c r="G1894" s="219"/>
    </row>
    <row r="1895" spans="2:13" x14ac:dyDescent="0.25">
      <c r="B1895" s="214" t="s">
        <v>34</v>
      </c>
      <c r="C1895" s="215">
        <v>60000</v>
      </c>
      <c r="D1895" s="216">
        <v>0</v>
      </c>
      <c r="E1895" s="212">
        <f>-D1895</f>
        <v>0</v>
      </c>
      <c r="F1895" s="212">
        <f t="shared" ref="F1895" si="110">D1895+E1895</f>
        <v>0</v>
      </c>
      <c r="G1895" s="218">
        <f>C1895-D1895-E1895</f>
        <v>60000</v>
      </c>
    </row>
    <row r="1896" spans="2:13" ht="15.75" thickBot="1" x14ac:dyDescent="0.3">
      <c r="B1896" s="214"/>
      <c r="C1896" s="215"/>
      <c r="D1896" s="234"/>
      <c r="E1896" s="213"/>
      <c r="F1896" s="213"/>
      <c r="G1896" s="219"/>
    </row>
    <row r="1897" spans="2:13" x14ac:dyDescent="0.25">
      <c r="B1897" s="214" t="s">
        <v>35</v>
      </c>
      <c r="C1897" s="215">
        <v>0</v>
      </c>
      <c r="D1897" s="216">
        <v>0</v>
      </c>
      <c r="E1897" s="212">
        <f>-D1897</f>
        <v>0</v>
      </c>
      <c r="F1897" s="212">
        <f t="shared" ref="F1897" si="111">D1897+E1897</f>
        <v>0</v>
      </c>
      <c r="G1897" s="218">
        <f>C1897-D1897-E1897</f>
        <v>0</v>
      </c>
    </row>
    <row r="1898" spans="2:13" ht="15.75" thickBot="1" x14ac:dyDescent="0.3">
      <c r="B1898" s="214"/>
      <c r="C1898" s="215"/>
      <c r="D1898" s="234"/>
      <c r="E1898" s="213"/>
      <c r="F1898" s="213"/>
      <c r="G1898" s="219"/>
    </row>
    <row r="1899" spans="2:13" ht="30.75" thickBot="1" x14ac:dyDescent="0.3">
      <c r="B1899" s="214" t="s">
        <v>36</v>
      </c>
      <c r="C1899" s="215">
        <v>0</v>
      </c>
      <c r="D1899" s="216">
        <v>0</v>
      </c>
      <c r="E1899" s="212">
        <f>-D1899</f>
        <v>0</v>
      </c>
      <c r="F1899" s="212">
        <f t="shared" ref="F1899" si="112">D1899+E1899</f>
        <v>0</v>
      </c>
      <c r="G1899" s="218">
        <f>C1899-D1899-E1899</f>
        <v>0</v>
      </c>
      <c r="H1899" s="155" t="s">
        <v>67</v>
      </c>
      <c r="I1899" s="154" t="s">
        <v>60</v>
      </c>
      <c r="J1899" s="120" t="s">
        <v>61</v>
      </c>
      <c r="K1899" s="126" t="s">
        <v>66</v>
      </c>
      <c r="L1899" s="133" t="s">
        <v>62</v>
      </c>
      <c r="M1899" s="147" t="s">
        <v>63</v>
      </c>
    </row>
    <row r="1900" spans="2:13" ht="15.75" thickBot="1" x14ac:dyDescent="0.3">
      <c r="B1900" s="220"/>
      <c r="C1900" s="221"/>
      <c r="D1900" s="244"/>
      <c r="E1900" s="213"/>
      <c r="F1900" s="213"/>
      <c r="G1900" s="219"/>
      <c r="H1900" s="62">
        <v>100</v>
      </c>
      <c r="I1900" s="63">
        <f>I1901*100/H1901</f>
        <v>39.231586702284091</v>
      </c>
      <c r="J1900" s="63">
        <f>J1901*100/H1901</f>
        <v>39.957502790014061</v>
      </c>
      <c r="K1900" s="64">
        <f>(D1901+E1901)*100/C1901</f>
        <v>79.189089492298152</v>
      </c>
      <c r="L1900" s="91">
        <f>G1901*100/C1901</f>
        <v>20.810910507701841</v>
      </c>
      <c r="M1900" s="112">
        <f>M1901*100/H1901</f>
        <v>60.768413297715902</v>
      </c>
    </row>
    <row r="1901" spans="2:13" ht="15.75" thickBot="1" x14ac:dyDescent="0.3">
      <c r="B1901" s="14" t="s">
        <v>22</v>
      </c>
      <c r="C1901" s="15">
        <f>SUM(C1885:C1900)</f>
        <v>990380.31</v>
      </c>
      <c r="D1901" s="15">
        <f>SUM(D1885:D1899)</f>
        <v>388541.91000000003</v>
      </c>
      <c r="E1901" s="16">
        <f>SUM(E1885:E1900)</f>
        <v>395731.23999999993</v>
      </c>
      <c r="F1901" s="16">
        <f>D1901+E1901</f>
        <v>784273.14999999991</v>
      </c>
      <c r="G1901" s="46">
        <f>C1901-D1901-E1901</f>
        <v>206107.16000000009</v>
      </c>
      <c r="H1901" s="80">
        <f>K1901+L1901</f>
        <v>990380.31</v>
      </c>
      <c r="I1901" s="81">
        <f>+D1901</f>
        <v>388541.91000000003</v>
      </c>
      <c r="J1901" s="81">
        <f>+E1901</f>
        <v>395731.23999999993</v>
      </c>
      <c r="K1901" s="82">
        <f>D1901+E1901</f>
        <v>784273.14999999991</v>
      </c>
      <c r="L1901" s="95">
        <f>+G1901</f>
        <v>206107.16000000009</v>
      </c>
      <c r="M1901" s="97">
        <f>H1901-I1901</f>
        <v>601838.4</v>
      </c>
    </row>
    <row r="1902" spans="2:13" ht="15.75" thickBot="1" x14ac:dyDescent="0.3">
      <c r="B1902" s="17" t="s">
        <v>23</v>
      </c>
      <c r="C1902" s="18">
        <f>C1884+C1901</f>
        <v>1785437.83</v>
      </c>
      <c r="D1902" s="19">
        <f>D1901+D1884</f>
        <v>898190.87</v>
      </c>
      <c r="E1902" s="20">
        <f>E1884+E1901</f>
        <v>421674.93</v>
      </c>
      <c r="F1902" s="16">
        <f>D1902+E1902</f>
        <v>1319865.8</v>
      </c>
      <c r="G1902" s="28">
        <f>C1902-D1902-E1902</f>
        <v>465572.03000000009</v>
      </c>
      <c r="H1902" s="50">
        <f>+C1902</f>
        <v>1785437.83</v>
      </c>
      <c r="I1902" s="51">
        <f>D1902</f>
        <v>898190.87</v>
      </c>
      <c r="J1902" s="51">
        <f>+E1902</f>
        <v>421674.93</v>
      </c>
      <c r="K1902" s="51">
        <f>I1902+J1902</f>
        <v>1319865.8</v>
      </c>
      <c r="L1902" s="100">
        <f>H1902-K1902</f>
        <v>465572.03</v>
      </c>
      <c r="M1902" s="97">
        <f>H1902-I1902</f>
        <v>887246.96000000008</v>
      </c>
    </row>
    <row r="1903" spans="2:13" ht="15.75" thickBot="1" x14ac:dyDescent="0.3">
      <c r="B1903" s="12"/>
      <c r="C1903" s="13"/>
      <c r="D1903" s="12"/>
      <c r="E1903" s="12"/>
      <c r="F1903" s="12"/>
      <c r="G1903" s="12"/>
      <c r="H1903" s="129">
        <v>100</v>
      </c>
      <c r="I1903" s="130">
        <f>I1902*100/H1902</f>
        <v>50.306476927286788</v>
      </c>
      <c r="J1903" s="130">
        <f>J1902*100/H1902</f>
        <v>23.617452420619987</v>
      </c>
      <c r="K1903" s="130">
        <f>K1902*100/H1902</f>
        <v>73.923929347906778</v>
      </c>
      <c r="L1903" s="131">
        <f>L1902*100/H1902</f>
        <v>26.076070652093218</v>
      </c>
      <c r="M1903" s="132">
        <f>M1902*100/H1902</f>
        <v>49.693523072713212</v>
      </c>
    </row>
    <row r="1904" spans="2:13" x14ac:dyDescent="0.25">
      <c r="B1904" s="12"/>
      <c r="C1904" s="13"/>
      <c r="D1904" s="12"/>
      <c r="E1904" s="12"/>
      <c r="F1904" s="12"/>
      <c r="G1904" s="12"/>
    </row>
    <row r="1905" spans="2:7" x14ac:dyDescent="0.25">
      <c r="B1905" s="12"/>
      <c r="C1905" s="13"/>
      <c r="D1905" s="12"/>
      <c r="E1905" s="12"/>
      <c r="F1905" s="12"/>
      <c r="G1905" s="12"/>
    </row>
    <row r="1906" spans="2:7" x14ac:dyDescent="0.25">
      <c r="B1906" s="12"/>
      <c r="C1906" s="13"/>
      <c r="D1906" s="12"/>
      <c r="E1906" s="12"/>
      <c r="F1906" s="12"/>
      <c r="G1906" s="12"/>
    </row>
    <row r="1907" spans="2:7" x14ac:dyDescent="0.25">
      <c r="B1907" s="12"/>
      <c r="C1907" s="13"/>
      <c r="D1907" s="12"/>
      <c r="E1907" s="12"/>
      <c r="F1907" s="12"/>
      <c r="G1907" s="12"/>
    </row>
    <row r="1908" spans="2:7" x14ac:dyDescent="0.25">
      <c r="B1908" s="12"/>
      <c r="C1908" s="13"/>
      <c r="D1908" s="12"/>
      <c r="E1908" s="12"/>
      <c r="F1908" s="12"/>
      <c r="G1908" s="12"/>
    </row>
    <row r="1909" spans="2:7" x14ac:dyDescent="0.25">
      <c r="B1909" s="12"/>
      <c r="C1909" s="13"/>
      <c r="D1909" s="12"/>
      <c r="E1909" s="12"/>
      <c r="F1909" s="12"/>
      <c r="G1909" s="12"/>
    </row>
    <row r="1910" spans="2:7" x14ac:dyDescent="0.25">
      <c r="B1910" s="12"/>
      <c r="C1910" s="13"/>
      <c r="D1910" s="12"/>
      <c r="E1910" s="12"/>
      <c r="F1910" s="12"/>
      <c r="G1910" s="12"/>
    </row>
    <row r="1911" spans="2:7" x14ac:dyDescent="0.25">
      <c r="B1911" s="12"/>
      <c r="C1911" s="13"/>
      <c r="D1911" s="12"/>
      <c r="E1911" s="12"/>
      <c r="F1911" s="12"/>
      <c r="G1911" s="12"/>
    </row>
    <row r="1912" spans="2:7" x14ac:dyDescent="0.25">
      <c r="B1912" s="12"/>
      <c r="C1912" s="13"/>
      <c r="D1912" s="12"/>
      <c r="E1912" s="12"/>
      <c r="F1912" s="12"/>
      <c r="G1912" s="12"/>
    </row>
    <row r="1913" spans="2:7" x14ac:dyDescent="0.25">
      <c r="B1913" s="12"/>
      <c r="C1913" s="13"/>
      <c r="D1913" s="12"/>
      <c r="E1913" s="12"/>
      <c r="F1913" s="12"/>
      <c r="G1913" s="12"/>
    </row>
    <row r="1914" spans="2:7" x14ac:dyDescent="0.25">
      <c r="B1914" s="12"/>
      <c r="C1914" s="13"/>
      <c r="D1914" s="12"/>
      <c r="E1914" s="12"/>
      <c r="F1914" s="12"/>
      <c r="G1914" s="12"/>
    </row>
    <row r="1915" spans="2:7" x14ac:dyDescent="0.25">
      <c r="B1915" s="12"/>
      <c r="C1915" s="13"/>
      <c r="D1915" s="12"/>
      <c r="E1915" s="12"/>
      <c r="F1915" s="12"/>
      <c r="G1915" s="12"/>
    </row>
    <row r="1916" spans="2:7" x14ac:dyDescent="0.25">
      <c r="B1916" s="12"/>
      <c r="C1916" s="13"/>
      <c r="D1916" s="12"/>
      <c r="E1916" s="12"/>
      <c r="F1916" s="12"/>
      <c r="G1916" s="12"/>
    </row>
    <row r="1917" spans="2:7" x14ac:dyDescent="0.25">
      <c r="B1917" s="12"/>
      <c r="C1917" s="13"/>
      <c r="D1917" s="12"/>
      <c r="E1917" s="12"/>
      <c r="F1917" s="12"/>
      <c r="G1917" s="12"/>
    </row>
    <row r="1918" spans="2:7" x14ac:dyDescent="0.25">
      <c r="B1918" s="12"/>
      <c r="C1918" s="13"/>
      <c r="D1918" s="12"/>
      <c r="E1918" s="12"/>
      <c r="F1918" s="12"/>
      <c r="G1918" s="12"/>
    </row>
    <row r="1919" spans="2:7" x14ac:dyDescent="0.25">
      <c r="B1919" s="12"/>
      <c r="C1919" s="13"/>
      <c r="D1919" s="12"/>
      <c r="E1919" s="12"/>
      <c r="F1919" s="12"/>
      <c r="G1919" s="12"/>
    </row>
    <row r="1920" spans="2:7" x14ac:dyDescent="0.25">
      <c r="B1920" s="225" t="s">
        <v>0</v>
      </c>
      <c r="C1920" s="225"/>
      <c r="D1920" s="225"/>
      <c r="E1920" s="225"/>
      <c r="F1920" s="225"/>
      <c r="G1920" s="225"/>
    </row>
    <row r="1921" spans="2:12" x14ac:dyDescent="0.25">
      <c r="B1921" s="225" t="s">
        <v>1</v>
      </c>
      <c r="C1921" s="225"/>
      <c r="D1921" s="225"/>
      <c r="E1921" s="225"/>
      <c r="F1921" s="225"/>
      <c r="G1921" s="225"/>
    </row>
    <row r="1922" spans="2:12" x14ac:dyDescent="0.25">
      <c r="B1922" s="225" t="s">
        <v>37</v>
      </c>
      <c r="C1922" s="225"/>
      <c r="D1922" s="225"/>
      <c r="E1922" s="225"/>
      <c r="F1922" s="225"/>
      <c r="G1922" s="225"/>
    </row>
    <row r="1923" spans="2:12" x14ac:dyDescent="0.25">
      <c r="B1923" s="225" t="s">
        <v>49</v>
      </c>
      <c r="C1923" s="225"/>
      <c r="D1923" s="225"/>
      <c r="E1923" s="225"/>
      <c r="F1923" s="225"/>
      <c r="G1923" s="225"/>
    </row>
    <row r="1924" spans="2:12" x14ac:dyDescent="0.25">
      <c r="B1924" s="225" t="s">
        <v>124</v>
      </c>
      <c r="C1924" s="225"/>
      <c r="D1924" s="225"/>
      <c r="E1924" s="225"/>
      <c r="F1924" s="225"/>
      <c r="G1924" s="225"/>
    </row>
    <row r="1925" spans="2:12" ht="15.75" thickBot="1" x14ac:dyDescent="0.3">
      <c r="B1925" s="12"/>
      <c r="C1925" s="13"/>
      <c r="D1925" s="12"/>
      <c r="E1925" s="12"/>
      <c r="F1925" s="12"/>
      <c r="G1925" s="12"/>
    </row>
    <row r="1926" spans="2:12" ht="36.75" thickBot="1" x14ac:dyDescent="0.3">
      <c r="B1926" s="185"/>
      <c r="C1926" s="184" t="s">
        <v>5</v>
      </c>
      <c r="D1926" s="161" t="s">
        <v>72</v>
      </c>
      <c r="E1926" s="172" t="s">
        <v>6</v>
      </c>
      <c r="F1926" s="161" t="s">
        <v>60</v>
      </c>
      <c r="G1926" s="172" t="s">
        <v>7</v>
      </c>
      <c r="H1926" s="180" t="s">
        <v>98</v>
      </c>
      <c r="I1926" s="172" t="s">
        <v>65</v>
      </c>
      <c r="J1926" s="180" t="s">
        <v>99</v>
      </c>
      <c r="K1926" s="177" t="s">
        <v>8</v>
      </c>
      <c r="L1926" s="181" t="s">
        <v>100</v>
      </c>
    </row>
    <row r="1927" spans="2:12" ht="30.75" thickBot="1" x14ac:dyDescent="0.3">
      <c r="B1927" s="186" t="s">
        <v>110</v>
      </c>
      <c r="C1927" s="182">
        <v>1785437.83</v>
      </c>
      <c r="D1927" s="174">
        <v>1</v>
      </c>
      <c r="E1927" s="170">
        <v>898190.87</v>
      </c>
      <c r="F1927" s="175">
        <f>E1927/C1927</f>
        <v>0.50306476927286792</v>
      </c>
      <c r="G1927" s="170">
        <v>421674.93</v>
      </c>
      <c r="H1927" s="175">
        <f>G1927/C1927</f>
        <v>0.23617452420619989</v>
      </c>
      <c r="I1927" s="170">
        <f>E1927+G1927</f>
        <v>1319865.8</v>
      </c>
      <c r="J1927" s="175">
        <f>I1927/C1927</f>
        <v>0.7392392934790678</v>
      </c>
      <c r="K1927" s="189">
        <f>C1927-I1927</f>
        <v>465572.03</v>
      </c>
      <c r="L1927" s="190">
        <f>K1927/C1927</f>
        <v>0.2607607065209322</v>
      </c>
    </row>
    <row r="1928" spans="2:12" x14ac:dyDescent="0.25">
      <c r="B1928" s="12"/>
      <c r="C1928" s="13"/>
      <c r="D1928" s="12"/>
      <c r="E1928" s="12"/>
      <c r="F1928" s="12"/>
      <c r="G1928" s="12"/>
    </row>
    <row r="1929" spans="2:12" x14ac:dyDescent="0.25">
      <c r="B1929" s="12"/>
      <c r="C1929" s="13"/>
      <c r="D1929" s="12"/>
      <c r="E1929" s="12"/>
      <c r="F1929" s="12"/>
      <c r="G1929" s="12"/>
    </row>
    <row r="1930" spans="2:12" x14ac:dyDescent="0.25">
      <c r="B1930" s="12"/>
      <c r="C1930" s="13"/>
      <c r="D1930" s="12"/>
      <c r="E1930" s="12"/>
      <c r="F1930" s="12"/>
      <c r="G1930" s="12"/>
    </row>
    <row r="1931" spans="2:12" x14ac:dyDescent="0.25">
      <c r="B1931" s="12"/>
      <c r="C1931" s="13"/>
      <c r="D1931" s="12"/>
      <c r="E1931" s="12"/>
      <c r="F1931" s="12"/>
      <c r="G1931" s="12"/>
    </row>
    <row r="1932" spans="2:12" x14ac:dyDescent="0.25">
      <c r="B1932" s="12"/>
      <c r="C1932" s="13"/>
      <c r="D1932" s="12"/>
      <c r="E1932" s="12"/>
      <c r="F1932" s="12"/>
      <c r="G1932" s="12"/>
    </row>
    <row r="1933" spans="2:12" x14ac:dyDescent="0.25">
      <c r="B1933" s="12"/>
      <c r="C1933" s="13"/>
      <c r="D1933" s="12"/>
      <c r="E1933" s="12"/>
      <c r="F1933" s="12"/>
      <c r="G1933" s="12"/>
    </row>
    <row r="1934" spans="2:12" x14ac:dyDescent="0.25">
      <c r="B1934" s="12"/>
      <c r="C1934" s="13"/>
      <c r="D1934" s="12"/>
      <c r="E1934" s="12"/>
      <c r="F1934" s="12"/>
      <c r="G1934" s="12"/>
    </row>
    <row r="1935" spans="2:12" x14ac:dyDescent="0.25">
      <c r="B1935" s="12"/>
      <c r="C1935" s="13"/>
      <c r="D1935" s="12"/>
      <c r="E1935" s="12"/>
      <c r="F1935" s="12"/>
      <c r="G1935" s="12"/>
    </row>
    <row r="1936" spans="2:12" x14ac:dyDescent="0.25">
      <c r="B1936" s="12"/>
      <c r="C1936" s="13"/>
      <c r="D1936" s="12"/>
      <c r="E1936" s="12"/>
      <c r="F1936" s="12"/>
      <c r="G1936" s="12"/>
    </row>
    <row r="1937" spans="2:7" x14ac:dyDescent="0.25">
      <c r="B1937" s="12"/>
      <c r="C1937" s="13"/>
      <c r="D1937" s="12"/>
      <c r="E1937" s="12"/>
      <c r="F1937" s="12"/>
      <c r="G1937" s="12"/>
    </row>
    <row r="1938" spans="2:7" x14ac:dyDescent="0.25">
      <c r="B1938" s="12"/>
      <c r="C1938" s="13"/>
      <c r="D1938" s="12"/>
      <c r="E1938" s="12"/>
      <c r="F1938" s="12"/>
      <c r="G1938" s="12"/>
    </row>
    <row r="1939" spans="2:7" x14ac:dyDescent="0.25">
      <c r="B1939" s="12"/>
      <c r="C1939" s="13"/>
      <c r="D1939" s="12"/>
      <c r="E1939" s="12"/>
      <c r="F1939" s="12"/>
      <c r="G1939" s="12"/>
    </row>
    <row r="1940" spans="2:7" x14ac:dyDescent="0.25">
      <c r="B1940" s="12"/>
      <c r="C1940" s="13"/>
      <c r="D1940" s="12"/>
      <c r="E1940" s="12"/>
      <c r="F1940" s="12"/>
      <c r="G1940" s="12"/>
    </row>
    <row r="1941" spans="2:7" x14ac:dyDescent="0.25">
      <c r="B1941" s="12"/>
      <c r="C1941" s="13"/>
      <c r="D1941" s="12"/>
      <c r="E1941" s="12"/>
      <c r="F1941" s="12"/>
      <c r="G1941" s="12"/>
    </row>
    <row r="1942" spans="2:7" x14ac:dyDescent="0.25">
      <c r="B1942" s="12"/>
      <c r="C1942" s="13"/>
      <c r="D1942" s="12"/>
      <c r="E1942" s="12"/>
      <c r="F1942" s="12"/>
      <c r="G1942" s="12"/>
    </row>
    <row r="1943" spans="2:7" x14ac:dyDescent="0.25">
      <c r="B1943" s="12"/>
      <c r="C1943" s="13"/>
      <c r="D1943" s="12"/>
      <c r="E1943" s="12"/>
      <c r="F1943" s="12"/>
      <c r="G1943" s="12"/>
    </row>
    <row r="1944" spans="2:7" x14ac:dyDescent="0.25">
      <c r="B1944" s="12"/>
      <c r="C1944" s="13"/>
      <c r="D1944" s="12"/>
      <c r="E1944" s="12"/>
      <c r="F1944" s="12"/>
      <c r="G1944" s="12"/>
    </row>
    <row r="1945" spans="2:7" x14ac:dyDescent="0.25">
      <c r="B1945" s="12"/>
      <c r="C1945" s="13"/>
      <c r="D1945" s="12"/>
      <c r="E1945" s="12"/>
      <c r="F1945" s="12"/>
      <c r="G1945" s="12"/>
    </row>
    <row r="1946" spans="2:7" x14ac:dyDescent="0.25">
      <c r="B1946" s="12"/>
      <c r="C1946" s="13"/>
      <c r="D1946" s="12"/>
      <c r="E1946" s="12"/>
      <c r="F1946" s="12"/>
      <c r="G1946" s="12"/>
    </row>
    <row r="1947" spans="2:7" x14ac:dyDescent="0.25">
      <c r="B1947" s="12"/>
      <c r="C1947" s="13"/>
      <c r="D1947" s="12"/>
      <c r="E1947" s="12"/>
      <c r="F1947" s="12"/>
      <c r="G1947" s="12"/>
    </row>
    <row r="1948" spans="2:7" x14ac:dyDescent="0.25">
      <c r="B1948" s="12"/>
      <c r="C1948" s="13"/>
      <c r="D1948" s="12"/>
      <c r="E1948" s="12"/>
      <c r="F1948" s="12"/>
      <c r="G1948" s="12"/>
    </row>
    <row r="1949" spans="2:7" x14ac:dyDescent="0.25">
      <c r="B1949" s="12"/>
      <c r="C1949" s="13"/>
      <c r="D1949" s="12"/>
      <c r="E1949" s="12"/>
      <c r="F1949" s="12"/>
      <c r="G1949" s="12"/>
    </row>
    <row r="1950" spans="2:7" x14ac:dyDescent="0.25">
      <c r="B1950" s="12"/>
      <c r="C1950" s="13"/>
      <c r="D1950" s="12"/>
      <c r="E1950" s="12"/>
      <c r="F1950" s="12"/>
      <c r="G1950" s="12"/>
    </row>
    <row r="1951" spans="2:7" x14ac:dyDescent="0.25">
      <c r="B1951" s="12"/>
      <c r="C1951" s="13"/>
      <c r="D1951" s="12"/>
      <c r="E1951" s="12"/>
      <c r="F1951" s="12"/>
      <c r="G1951" s="12"/>
    </row>
    <row r="1952" spans="2:7" x14ac:dyDescent="0.25">
      <c r="B1952" s="12"/>
      <c r="C1952" s="13"/>
      <c r="D1952" s="12"/>
      <c r="E1952" s="12"/>
      <c r="F1952" s="12"/>
      <c r="G1952" s="12"/>
    </row>
    <row r="1953" spans="2:7" x14ac:dyDescent="0.25">
      <c r="B1953" s="12"/>
      <c r="C1953" s="13"/>
      <c r="D1953" s="12"/>
      <c r="E1953" s="12"/>
      <c r="F1953" s="12"/>
      <c r="G1953" s="12"/>
    </row>
    <row r="1954" spans="2:7" x14ac:dyDescent="0.25">
      <c r="B1954" s="12"/>
      <c r="C1954" s="13"/>
      <c r="D1954" s="12"/>
      <c r="E1954" s="12"/>
      <c r="F1954" s="12"/>
      <c r="G1954" s="12"/>
    </row>
    <row r="1955" spans="2:7" x14ac:dyDescent="0.25">
      <c r="B1955" s="12"/>
      <c r="C1955" s="13"/>
      <c r="D1955" s="12"/>
      <c r="E1955" s="12"/>
      <c r="F1955" s="12"/>
      <c r="G1955" s="12"/>
    </row>
    <row r="1956" spans="2:7" x14ac:dyDescent="0.25">
      <c r="B1956" s="12"/>
      <c r="C1956" s="13"/>
      <c r="D1956" s="12"/>
      <c r="E1956" s="12"/>
      <c r="F1956" s="12"/>
      <c r="G1956" s="12"/>
    </row>
    <row r="1957" spans="2:7" x14ac:dyDescent="0.25">
      <c r="B1957" s="12"/>
      <c r="C1957" s="13"/>
      <c r="D1957" s="12"/>
      <c r="E1957" s="12"/>
      <c r="F1957" s="12"/>
      <c r="G1957" s="12"/>
    </row>
    <row r="1958" spans="2:7" x14ac:dyDescent="0.25">
      <c r="B1958" s="12"/>
      <c r="C1958" s="13"/>
      <c r="D1958" s="12"/>
      <c r="E1958" s="12"/>
      <c r="F1958" s="12"/>
      <c r="G1958" s="12"/>
    </row>
    <row r="1959" spans="2:7" x14ac:dyDescent="0.25">
      <c r="B1959" s="12"/>
      <c r="C1959" s="13"/>
      <c r="D1959" s="12"/>
      <c r="E1959" s="12"/>
      <c r="F1959" s="12"/>
      <c r="G1959" s="12"/>
    </row>
    <row r="1960" spans="2:7" x14ac:dyDescent="0.25">
      <c r="B1960" s="12"/>
      <c r="C1960" s="13"/>
      <c r="D1960" s="12"/>
      <c r="E1960" s="12"/>
      <c r="F1960" s="12"/>
      <c r="G1960" s="12"/>
    </row>
    <row r="1961" spans="2:7" x14ac:dyDescent="0.25">
      <c r="B1961" s="12"/>
      <c r="C1961" s="13"/>
      <c r="D1961" s="12"/>
      <c r="E1961" s="12"/>
      <c r="F1961" s="12"/>
      <c r="G1961" s="12"/>
    </row>
    <row r="1962" spans="2:7" x14ac:dyDescent="0.25">
      <c r="B1962" s="12"/>
      <c r="C1962" s="13"/>
      <c r="D1962" s="12"/>
      <c r="E1962" s="12"/>
      <c r="F1962" s="12"/>
      <c r="G1962" s="12"/>
    </row>
    <row r="1963" spans="2:7" x14ac:dyDescent="0.25">
      <c r="B1963" s="12"/>
      <c r="C1963" s="13"/>
      <c r="D1963" s="12"/>
      <c r="E1963" s="12"/>
      <c r="F1963" s="12"/>
      <c r="G1963" s="12"/>
    </row>
    <row r="1964" spans="2:7" x14ac:dyDescent="0.25">
      <c r="B1964" s="12"/>
      <c r="C1964" s="13"/>
      <c r="D1964" s="12"/>
      <c r="E1964" s="12"/>
      <c r="F1964" s="12"/>
      <c r="G1964" s="12"/>
    </row>
    <row r="1965" spans="2:7" x14ac:dyDescent="0.25">
      <c r="B1965" s="12"/>
      <c r="C1965" s="13"/>
      <c r="D1965" s="12"/>
      <c r="E1965" s="12"/>
      <c r="F1965" s="12"/>
      <c r="G1965" s="12"/>
    </row>
    <row r="1966" spans="2:7" x14ac:dyDescent="0.25">
      <c r="B1966" s="12"/>
      <c r="C1966" s="13"/>
      <c r="D1966" s="12"/>
      <c r="E1966" s="12"/>
      <c r="F1966" s="12"/>
      <c r="G1966" s="12"/>
    </row>
    <row r="1967" spans="2:7" x14ac:dyDescent="0.25">
      <c r="B1967" s="12"/>
      <c r="C1967" s="13"/>
      <c r="D1967" s="12"/>
      <c r="E1967" s="12"/>
      <c r="F1967" s="12"/>
      <c r="G1967" s="12"/>
    </row>
    <row r="1968" spans="2:7" x14ac:dyDescent="0.25">
      <c r="B1968" s="12"/>
      <c r="C1968" s="13"/>
      <c r="D1968" s="12"/>
      <c r="E1968" s="12"/>
      <c r="F1968" s="12"/>
      <c r="G1968" s="12"/>
    </row>
    <row r="1969" spans="2:7" x14ac:dyDescent="0.25">
      <c r="B1969" s="12"/>
      <c r="C1969" s="13"/>
      <c r="D1969" s="12"/>
      <c r="E1969" s="12"/>
      <c r="F1969" s="12"/>
      <c r="G1969" s="12"/>
    </row>
    <row r="1970" spans="2:7" x14ac:dyDescent="0.25">
      <c r="B1970" s="12"/>
      <c r="C1970" s="13"/>
      <c r="D1970" s="12"/>
      <c r="E1970" s="12"/>
      <c r="F1970" s="12"/>
      <c r="G1970" s="12"/>
    </row>
    <row r="1971" spans="2:7" x14ac:dyDescent="0.25">
      <c r="B1971" s="12"/>
      <c r="C1971" s="13"/>
      <c r="D1971" s="12"/>
      <c r="E1971" s="12"/>
      <c r="F1971" s="12"/>
      <c r="G1971" s="12"/>
    </row>
    <row r="1972" spans="2:7" x14ac:dyDescent="0.25">
      <c r="B1972" s="12"/>
      <c r="C1972" s="13"/>
      <c r="D1972" s="12"/>
      <c r="E1972" s="12"/>
      <c r="F1972" s="12"/>
      <c r="G1972" s="12"/>
    </row>
    <row r="1973" spans="2:7" x14ac:dyDescent="0.25">
      <c r="B1973" s="225" t="s">
        <v>0</v>
      </c>
      <c r="C1973" s="225"/>
      <c r="D1973" s="225"/>
      <c r="E1973" s="225"/>
      <c r="F1973" s="225"/>
      <c r="G1973" s="225"/>
    </row>
    <row r="1974" spans="2:7" x14ac:dyDescent="0.25">
      <c r="B1974" s="225" t="s">
        <v>1</v>
      </c>
      <c r="C1974" s="225"/>
      <c r="D1974" s="225"/>
      <c r="E1974" s="225"/>
      <c r="F1974" s="225"/>
      <c r="G1974" s="225"/>
    </row>
    <row r="1975" spans="2:7" x14ac:dyDescent="0.25">
      <c r="B1975" s="225" t="s">
        <v>37</v>
      </c>
      <c r="C1975" s="225"/>
      <c r="D1975" s="225"/>
      <c r="E1975" s="225"/>
      <c r="F1975" s="225"/>
      <c r="G1975" s="225"/>
    </row>
    <row r="1976" spans="2:7" x14ac:dyDescent="0.25">
      <c r="B1976" s="225" t="s">
        <v>50</v>
      </c>
      <c r="C1976" s="225"/>
      <c r="D1976" s="225"/>
      <c r="E1976" s="225"/>
      <c r="F1976" s="225"/>
      <c r="G1976" s="225"/>
    </row>
    <row r="1977" spans="2:7" x14ac:dyDescent="0.25">
      <c r="B1977" s="225" t="s">
        <v>124</v>
      </c>
      <c r="C1977" s="225"/>
      <c r="D1977" s="225"/>
      <c r="E1977" s="225"/>
      <c r="F1977" s="225"/>
      <c r="G1977" s="225"/>
    </row>
    <row r="1978" spans="2:7" ht="15.75" thickBot="1" x14ac:dyDescent="0.3">
      <c r="B1978" s="159"/>
      <c r="C1978" s="159"/>
      <c r="D1978" s="159"/>
      <c r="E1978" s="159"/>
      <c r="F1978" s="159"/>
      <c r="G1978" s="12"/>
    </row>
    <row r="1979" spans="2:7" ht="24.75" thickBot="1" x14ac:dyDescent="0.3">
      <c r="B1979" s="2" t="s">
        <v>4</v>
      </c>
      <c r="C1979" s="3" t="s">
        <v>5</v>
      </c>
      <c r="D1979" s="3" t="s">
        <v>6</v>
      </c>
      <c r="E1979" s="4" t="s">
        <v>7</v>
      </c>
      <c r="F1979" s="3" t="s">
        <v>65</v>
      </c>
      <c r="G1979" s="3" t="s">
        <v>8</v>
      </c>
    </row>
    <row r="1980" spans="2:7" x14ac:dyDescent="0.25">
      <c r="B1980" s="226" t="s">
        <v>25</v>
      </c>
      <c r="C1980" s="228">
        <v>2132773.02</v>
      </c>
      <c r="D1980" s="245">
        <v>1698098.32</v>
      </c>
      <c r="E1980" s="229">
        <f>1737123.54-D1980</f>
        <v>39025.219999999972</v>
      </c>
      <c r="F1980" s="228">
        <f>D1980+E1980</f>
        <v>1737123.54</v>
      </c>
      <c r="G1980" s="228">
        <f>C1980-D1980-E1980</f>
        <v>395649.48</v>
      </c>
    </row>
    <row r="1981" spans="2:7" ht="15.75" thickBot="1" x14ac:dyDescent="0.3">
      <c r="B1981" s="227"/>
      <c r="C1981" s="215"/>
      <c r="D1981" s="234"/>
      <c r="E1981" s="230"/>
      <c r="F1981" s="215"/>
      <c r="G1981" s="215"/>
    </row>
    <row r="1982" spans="2:7" x14ac:dyDescent="0.25">
      <c r="B1982" s="231" t="s">
        <v>26</v>
      </c>
      <c r="C1982" s="215">
        <v>739695.82</v>
      </c>
      <c r="D1982" s="216">
        <v>321000.94</v>
      </c>
      <c r="E1982" s="236">
        <f>486160.67-D1982</f>
        <v>165159.72999999998</v>
      </c>
      <c r="F1982" s="216">
        <f>D1982+E1982</f>
        <v>486160.67</v>
      </c>
      <c r="G1982" s="228">
        <f>C1982-D1982-E1982</f>
        <v>253535.14999999997</v>
      </c>
    </row>
    <row r="1983" spans="2:7" ht="15.75" thickBot="1" x14ac:dyDescent="0.3">
      <c r="B1983" s="231"/>
      <c r="C1983" s="215"/>
      <c r="D1983" s="234"/>
      <c r="E1983" s="263"/>
      <c r="F1983" s="217"/>
      <c r="G1983" s="215"/>
    </row>
    <row r="1984" spans="2:7" x14ac:dyDescent="0.25">
      <c r="B1984" s="231" t="s">
        <v>27</v>
      </c>
      <c r="C1984" s="215">
        <v>0</v>
      </c>
      <c r="D1984" s="216">
        <v>0</v>
      </c>
      <c r="E1984" s="236">
        <f>0-D1984</f>
        <v>0</v>
      </c>
      <c r="F1984" s="216">
        <f t="shared" ref="F1984" si="113">D1984+E1984</f>
        <v>0</v>
      </c>
      <c r="G1984" s="228">
        <f>C1984-D1984-E1984</f>
        <v>0</v>
      </c>
    </row>
    <row r="1985" spans="2:13" ht="15.75" thickBot="1" x14ac:dyDescent="0.3">
      <c r="B1985" s="231"/>
      <c r="C1985" s="215"/>
      <c r="D1985" s="234"/>
      <c r="E1985" s="263"/>
      <c r="F1985" s="217"/>
      <c r="G1985" s="215"/>
    </row>
    <row r="1986" spans="2:13" ht="30.75" thickBot="1" x14ac:dyDescent="0.3">
      <c r="B1986" s="231" t="s">
        <v>28</v>
      </c>
      <c r="C1986" s="215">
        <v>0</v>
      </c>
      <c r="D1986" s="216">
        <v>0</v>
      </c>
      <c r="E1986" s="236">
        <f>C1986-D1986</f>
        <v>0</v>
      </c>
      <c r="F1986" s="216">
        <f t="shared" ref="F1986" si="114">D1986+E1986</f>
        <v>0</v>
      </c>
      <c r="G1986" s="228">
        <f>C1986-D1986-E1986</f>
        <v>0</v>
      </c>
      <c r="H1986" s="155" t="s">
        <v>67</v>
      </c>
      <c r="I1986" s="154" t="s">
        <v>60</v>
      </c>
      <c r="J1986" s="120" t="s">
        <v>61</v>
      </c>
      <c r="K1986" s="126" t="s">
        <v>66</v>
      </c>
      <c r="L1986" s="133" t="s">
        <v>62</v>
      </c>
      <c r="M1986" s="128" t="s">
        <v>63</v>
      </c>
    </row>
    <row r="1987" spans="2:13" ht="15.75" thickBot="1" x14ac:dyDescent="0.3">
      <c r="B1987" s="232"/>
      <c r="C1987" s="216"/>
      <c r="D1987" s="244"/>
      <c r="E1987" s="264"/>
      <c r="F1987" s="217"/>
      <c r="G1987" s="239"/>
      <c r="H1987" s="58">
        <v>100</v>
      </c>
      <c r="I1987" s="59">
        <f>I1988*100/H1988</f>
        <v>70.291424292700071</v>
      </c>
      <c r="J1987" s="59">
        <f>J1988*100/H1988</f>
        <v>7.1083434276696966</v>
      </c>
      <c r="K1987" s="59">
        <f>K1988*100/H1988</f>
        <v>77.39976772036978</v>
      </c>
      <c r="L1987" s="98">
        <f>L1988*100/H1988</f>
        <v>22.600232279630227</v>
      </c>
      <c r="M1987" s="97">
        <f>M1988*100/H1988</f>
        <v>29.708575707299921</v>
      </c>
    </row>
    <row r="1988" spans="2:13" ht="15.75" thickBot="1" x14ac:dyDescent="0.3">
      <c r="B1988" s="14" t="s">
        <v>13</v>
      </c>
      <c r="C1988" s="21">
        <f>SUM(C1980:C1987)</f>
        <v>2872468.84</v>
      </c>
      <c r="D1988" s="21">
        <f>SUM(D1980:D1987)</f>
        <v>2019099.26</v>
      </c>
      <c r="E1988" s="149">
        <f>SUM(E1980:E1987)</f>
        <v>204184.94999999995</v>
      </c>
      <c r="F1988" s="16">
        <f>SUM(F1980:F1987)</f>
        <v>2223284.21</v>
      </c>
      <c r="G1988" s="46">
        <f>C1988-D1988-E1988</f>
        <v>649184.62999999989</v>
      </c>
      <c r="H1988" s="80">
        <f>+C1988</f>
        <v>2872468.84</v>
      </c>
      <c r="I1988" s="82">
        <f>+D1988</f>
        <v>2019099.26</v>
      </c>
      <c r="J1988" s="82">
        <f>+E1988</f>
        <v>204184.94999999995</v>
      </c>
      <c r="K1988" s="82">
        <f>I1988+J1988</f>
        <v>2223284.21</v>
      </c>
      <c r="L1988" s="95">
        <f>H1988-K1988</f>
        <v>649184.62999999989</v>
      </c>
      <c r="M1988" s="99">
        <f>H1988-I1988</f>
        <v>853369.57999999984</v>
      </c>
    </row>
    <row r="1989" spans="2:13" x14ac:dyDescent="0.25">
      <c r="B1989" s="224" t="s">
        <v>29</v>
      </c>
      <c r="C1989" s="234">
        <v>165898.46</v>
      </c>
      <c r="D1989" s="245">
        <v>117885.55</v>
      </c>
      <c r="E1989" s="223">
        <f>126769.2-D1989</f>
        <v>8883.6499999999942</v>
      </c>
      <c r="F1989" s="216">
        <f t="shared" ref="F1989" si="115">D1989+E1989</f>
        <v>126769.2</v>
      </c>
      <c r="G1989" s="218">
        <f>C1989-D1989-E1989</f>
        <v>39129.259999999995</v>
      </c>
    </row>
    <row r="1990" spans="2:13" ht="15.75" thickBot="1" x14ac:dyDescent="0.3">
      <c r="B1990" s="214"/>
      <c r="C1990" s="215"/>
      <c r="D1990" s="234"/>
      <c r="E1990" s="213"/>
      <c r="F1990" s="217"/>
      <c r="G1990" s="219"/>
    </row>
    <row r="1991" spans="2:13" x14ac:dyDescent="0.25">
      <c r="B1991" s="214" t="s">
        <v>30</v>
      </c>
      <c r="C1991" s="215">
        <v>256448.51</v>
      </c>
      <c r="D1991" s="216">
        <v>71953.87</v>
      </c>
      <c r="E1991" s="212">
        <f>207220.29-D1991</f>
        <v>135266.42000000001</v>
      </c>
      <c r="F1991" s="216">
        <f t="shared" ref="F1991" si="116">D1991+E1991</f>
        <v>207220.29</v>
      </c>
      <c r="G1991" s="218">
        <f>C1991-D1991-E1991</f>
        <v>49228.22</v>
      </c>
    </row>
    <row r="1992" spans="2:13" ht="15.75" thickBot="1" x14ac:dyDescent="0.3">
      <c r="B1992" s="214"/>
      <c r="C1992" s="215"/>
      <c r="D1992" s="234"/>
      <c r="E1992" s="213"/>
      <c r="F1992" s="217"/>
      <c r="G1992" s="219"/>
    </row>
    <row r="1993" spans="2:13" x14ac:dyDescent="0.25">
      <c r="B1993" s="214" t="s">
        <v>31</v>
      </c>
      <c r="C1993" s="215">
        <v>1187605.53</v>
      </c>
      <c r="D1993" s="216">
        <v>6511.31</v>
      </c>
      <c r="E1993" s="212">
        <f>1026745.34-D1993</f>
        <v>1020234.0299999999</v>
      </c>
      <c r="F1993" s="216">
        <f t="shared" ref="F1993" si="117">D1993+E1993</f>
        <v>1026745.34</v>
      </c>
      <c r="G1993" s="218">
        <f>C1993-D1993-E1993</f>
        <v>160860.19000000006</v>
      </c>
    </row>
    <row r="1994" spans="2:13" ht="15.75" thickBot="1" x14ac:dyDescent="0.3">
      <c r="B1994" s="214"/>
      <c r="C1994" s="215"/>
      <c r="D1994" s="234"/>
      <c r="E1994" s="213"/>
      <c r="F1994" s="217"/>
      <c r="G1994" s="219"/>
    </row>
    <row r="1995" spans="2:13" x14ac:dyDescent="0.25">
      <c r="B1995" s="214" t="s">
        <v>32</v>
      </c>
      <c r="C1995" s="215">
        <v>3951868.57</v>
      </c>
      <c r="D1995" s="216">
        <v>170019.84</v>
      </c>
      <c r="E1995" s="212">
        <f>3935657.23-D1995</f>
        <v>3765637.39</v>
      </c>
      <c r="F1995" s="216">
        <f t="shared" ref="F1995" si="118">D1995+E1995</f>
        <v>3935657.23</v>
      </c>
      <c r="G1995" s="218">
        <f>C1995-D1995-E1995</f>
        <v>16211.339999999851</v>
      </c>
    </row>
    <row r="1996" spans="2:13" ht="15.75" thickBot="1" x14ac:dyDescent="0.3">
      <c r="B1996" s="214"/>
      <c r="C1996" s="215"/>
      <c r="D1996" s="234"/>
      <c r="E1996" s="213"/>
      <c r="F1996" s="217"/>
      <c r="G1996" s="219"/>
    </row>
    <row r="1997" spans="2:13" x14ac:dyDescent="0.25">
      <c r="B1997" s="214" t="s">
        <v>33</v>
      </c>
      <c r="C1997" s="215">
        <v>0</v>
      </c>
      <c r="D1997" s="216">
        <v>0</v>
      </c>
      <c r="E1997" s="212">
        <f>0-D1997</f>
        <v>0</v>
      </c>
      <c r="F1997" s="216">
        <f t="shared" ref="F1997" si="119">D1997+E1997</f>
        <v>0</v>
      </c>
      <c r="G1997" s="218">
        <f>C1997-D1997-E1997</f>
        <v>0</v>
      </c>
    </row>
    <row r="1998" spans="2:13" ht="15.75" thickBot="1" x14ac:dyDescent="0.3">
      <c r="B1998" s="214"/>
      <c r="C1998" s="215"/>
      <c r="D1998" s="234"/>
      <c r="E1998" s="213"/>
      <c r="F1998" s="217"/>
      <c r="G1998" s="219"/>
    </row>
    <row r="1999" spans="2:13" x14ac:dyDescent="0.25">
      <c r="B1999" s="214" t="s">
        <v>34</v>
      </c>
      <c r="C1999" s="215">
        <v>0</v>
      </c>
      <c r="D1999" s="216">
        <v>0</v>
      </c>
      <c r="E1999" s="212">
        <f>-D1999</f>
        <v>0</v>
      </c>
      <c r="F1999" s="216">
        <f t="shared" ref="F1999" si="120">D1999+E1999</f>
        <v>0</v>
      </c>
      <c r="G1999" s="218">
        <f>C1999-D1999-E1999</f>
        <v>0</v>
      </c>
    </row>
    <row r="2000" spans="2:13" ht="15.75" thickBot="1" x14ac:dyDescent="0.3">
      <c r="B2000" s="214"/>
      <c r="C2000" s="215"/>
      <c r="D2000" s="234"/>
      <c r="E2000" s="213"/>
      <c r="F2000" s="217"/>
      <c r="G2000" s="219"/>
    </row>
    <row r="2001" spans="2:13" x14ac:dyDescent="0.25">
      <c r="B2001" s="214" t="s">
        <v>35</v>
      </c>
      <c r="C2001" s="215">
        <v>0</v>
      </c>
      <c r="D2001" s="216">
        <v>0</v>
      </c>
      <c r="E2001" s="212">
        <f>-D2001</f>
        <v>0</v>
      </c>
      <c r="F2001" s="216">
        <f t="shared" ref="F2001" si="121">D2001+E2001</f>
        <v>0</v>
      </c>
      <c r="G2001" s="218">
        <f>C2001-D2001-E2001</f>
        <v>0</v>
      </c>
    </row>
    <row r="2002" spans="2:13" ht="15.75" thickBot="1" x14ac:dyDescent="0.3">
      <c r="B2002" s="214"/>
      <c r="C2002" s="215"/>
      <c r="D2002" s="234"/>
      <c r="E2002" s="213"/>
      <c r="F2002" s="217"/>
      <c r="G2002" s="219"/>
    </row>
    <row r="2003" spans="2:13" ht="30.75" thickBot="1" x14ac:dyDescent="0.3">
      <c r="B2003" s="214" t="s">
        <v>36</v>
      </c>
      <c r="C2003" s="215">
        <v>0</v>
      </c>
      <c r="D2003" s="216">
        <v>0</v>
      </c>
      <c r="E2003" s="212">
        <f>-D2003</f>
        <v>0</v>
      </c>
      <c r="F2003" s="216">
        <f t="shared" ref="F2003" si="122">D2003+E2003</f>
        <v>0</v>
      </c>
      <c r="G2003" s="218">
        <f>C2003-D2003-E2003</f>
        <v>0</v>
      </c>
      <c r="H2003" s="155" t="s">
        <v>67</v>
      </c>
      <c r="I2003" s="154" t="s">
        <v>60</v>
      </c>
      <c r="J2003" s="120" t="s">
        <v>61</v>
      </c>
      <c r="K2003" s="126" t="s">
        <v>66</v>
      </c>
      <c r="L2003" s="133" t="s">
        <v>62</v>
      </c>
      <c r="M2003" s="137" t="s">
        <v>63</v>
      </c>
    </row>
    <row r="2004" spans="2:13" ht="15.75" thickBot="1" x14ac:dyDescent="0.3">
      <c r="B2004" s="220"/>
      <c r="C2004" s="221"/>
      <c r="D2004" s="244"/>
      <c r="E2004" s="213"/>
      <c r="F2004" s="217"/>
      <c r="G2004" s="219"/>
      <c r="H2004" s="62">
        <v>100</v>
      </c>
      <c r="I2004" s="63">
        <f>I2005*100/H2005</f>
        <v>6.5872412180998108</v>
      </c>
      <c r="J2004" s="63">
        <f>J2005*100/H2005</f>
        <v>88.640418811603368</v>
      </c>
      <c r="K2004" s="64">
        <f>(D2005+E2005)*100/C2005</f>
        <v>95.227660029703188</v>
      </c>
      <c r="L2004" s="91">
        <f>G2005*100/C2005</f>
        <v>4.7723399702968106</v>
      </c>
      <c r="M2004" s="112">
        <f>M2005*100/H2005</f>
        <v>93.41275878190018</v>
      </c>
    </row>
    <row r="2005" spans="2:13" ht="15.75" thickBot="1" x14ac:dyDescent="0.3">
      <c r="B2005" s="14" t="s">
        <v>22</v>
      </c>
      <c r="C2005" s="15">
        <f>SUM(C1989:C2004)</f>
        <v>5561821.0700000003</v>
      </c>
      <c r="D2005" s="15">
        <f>SUM(D1989:D2003)</f>
        <v>366370.56999999995</v>
      </c>
      <c r="E2005" s="16">
        <f>SUM(E1989:E2004)</f>
        <v>4930021.49</v>
      </c>
      <c r="F2005" s="46">
        <f>D2005+E2005</f>
        <v>5296392.0600000005</v>
      </c>
      <c r="G2005" s="27">
        <f>C2005-D2005-E2005</f>
        <v>265429.00999999978</v>
      </c>
      <c r="H2005" s="80">
        <f>K2005+L2005</f>
        <v>5561821.0700000003</v>
      </c>
      <c r="I2005" s="81">
        <f>+D2005</f>
        <v>366370.56999999995</v>
      </c>
      <c r="J2005" s="81">
        <f>+E2005</f>
        <v>4930021.49</v>
      </c>
      <c r="K2005" s="82">
        <f>D2005+E2005</f>
        <v>5296392.0600000005</v>
      </c>
      <c r="L2005" s="95">
        <f>+G2005</f>
        <v>265429.00999999978</v>
      </c>
      <c r="M2005" s="97">
        <f>H2005-I2005</f>
        <v>5195450.5</v>
      </c>
    </row>
    <row r="2006" spans="2:13" ht="15.75" thickBot="1" x14ac:dyDescent="0.3">
      <c r="B2006" s="17" t="s">
        <v>23</v>
      </c>
      <c r="C2006" s="18">
        <f>C1988+C2005</f>
        <v>8434289.9100000001</v>
      </c>
      <c r="D2006" s="19">
        <f>D2005+D1988</f>
        <v>2385469.83</v>
      </c>
      <c r="E2006" s="20">
        <f>E1988+E2005</f>
        <v>5134206.4400000004</v>
      </c>
      <c r="F2006" s="28">
        <f>D2006+E2006</f>
        <v>7519676.2700000005</v>
      </c>
      <c r="G2006" s="28">
        <f>C2006-D2006-E2006</f>
        <v>914613.63999999966</v>
      </c>
      <c r="H2006" s="50">
        <f>+C2006</f>
        <v>8434289.9100000001</v>
      </c>
      <c r="I2006" s="51">
        <f>+D2006</f>
        <v>2385469.83</v>
      </c>
      <c r="J2006" s="51">
        <f>+E2006</f>
        <v>5134206.4400000004</v>
      </c>
      <c r="K2006" s="51">
        <f>I2006+J2006</f>
        <v>7519676.2700000005</v>
      </c>
      <c r="L2006" s="100">
        <f>H2006-K2006</f>
        <v>914613.63999999966</v>
      </c>
      <c r="M2006" s="112">
        <f>H2006-I2006</f>
        <v>6048820.0800000001</v>
      </c>
    </row>
    <row r="2007" spans="2:13" ht="15.75" thickBot="1" x14ac:dyDescent="0.3">
      <c r="B2007" s="12"/>
      <c r="C2007" s="13"/>
      <c r="D2007" s="12"/>
      <c r="E2007" s="12"/>
      <c r="F2007" s="12"/>
      <c r="G2007" s="12"/>
      <c r="H2007" s="129">
        <v>100</v>
      </c>
      <c r="I2007" s="130">
        <f>I2006*100/H2006</f>
        <v>28.282995432392006</v>
      </c>
      <c r="J2007" s="130">
        <f>J2006*100/H2006</f>
        <v>60.873013552838621</v>
      </c>
      <c r="K2007" s="130">
        <f>K2006*100/H2006</f>
        <v>89.156008985230628</v>
      </c>
      <c r="L2007" s="131">
        <f>L2006*100/H2006</f>
        <v>10.843991014769371</v>
      </c>
      <c r="M2007" s="125">
        <f>M2006*100/H2006</f>
        <v>71.717004567607987</v>
      </c>
    </row>
    <row r="2008" spans="2:13" x14ac:dyDescent="0.25">
      <c r="B2008" s="12"/>
      <c r="C2008" s="13"/>
      <c r="D2008" s="12"/>
      <c r="E2008" s="12"/>
      <c r="F2008" s="12"/>
      <c r="G2008" s="12"/>
      <c r="M2008" s="1"/>
    </row>
    <row r="2009" spans="2:13" x14ac:dyDescent="0.25">
      <c r="B2009" s="12"/>
      <c r="C2009" s="13"/>
      <c r="D2009" s="12"/>
      <c r="E2009" s="12"/>
      <c r="F2009" s="12"/>
      <c r="G2009" s="12"/>
      <c r="M2009" s="1"/>
    </row>
    <row r="2010" spans="2:13" x14ac:dyDescent="0.25">
      <c r="B2010" s="12"/>
      <c r="C2010" s="13"/>
      <c r="D2010" s="12"/>
      <c r="E2010" s="12"/>
      <c r="F2010" s="12"/>
      <c r="G2010" s="12"/>
      <c r="M2010" s="1"/>
    </row>
    <row r="2011" spans="2:13" x14ac:dyDescent="0.25">
      <c r="B2011" s="12"/>
      <c r="C2011" s="13"/>
      <c r="D2011" s="12"/>
      <c r="E2011" s="12"/>
      <c r="F2011" s="12"/>
      <c r="G2011" s="12"/>
      <c r="M2011" s="1"/>
    </row>
    <row r="2012" spans="2:13" x14ac:dyDescent="0.25">
      <c r="B2012" s="12"/>
      <c r="C2012" s="13"/>
      <c r="D2012" s="12"/>
      <c r="E2012" s="12"/>
      <c r="F2012" s="12"/>
      <c r="G2012" s="12"/>
      <c r="M2012" s="1"/>
    </row>
    <row r="2013" spans="2:13" x14ac:dyDescent="0.25">
      <c r="B2013" s="12"/>
      <c r="C2013" s="13"/>
      <c r="D2013" s="12"/>
      <c r="E2013" s="12"/>
      <c r="F2013" s="12"/>
      <c r="G2013" s="12"/>
      <c r="M2013" s="1"/>
    </row>
    <row r="2014" spans="2:13" x14ac:dyDescent="0.25">
      <c r="B2014" s="12"/>
      <c r="C2014" s="13"/>
      <c r="D2014" s="12"/>
      <c r="E2014" s="12"/>
      <c r="F2014" s="12"/>
      <c r="G2014" s="12"/>
      <c r="M2014" s="1"/>
    </row>
    <row r="2015" spans="2:13" x14ac:dyDescent="0.25">
      <c r="B2015" s="12"/>
      <c r="C2015" s="13"/>
      <c r="D2015" s="12"/>
      <c r="E2015" s="12"/>
      <c r="F2015" s="12"/>
      <c r="G2015" s="12"/>
      <c r="M2015" s="1"/>
    </row>
    <row r="2016" spans="2:13" x14ac:dyDescent="0.25">
      <c r="B2016" s="12"/>
      <c r="C2016" s="13"/>
      <c r="D2016" s="12"/>
      <c r="E2016" s="12"/>
      <c r="F2016" s="12"/>
      <c r="G2016" s="12"/>
      <c r="M2016" s="1"/>
    </row>
    <row r="2017" spans="2:13" x14ac:dyDescent="0.25">
      <c r="B2017" s="12"/>
      <c r="C2017" s="13"/>
      <c r="D2017" s="12"/>
      <c r="E2017" s="12"/>
      <c r="F2017" s="12"/>
      <c r="G2017" s="12"/>
      <c r="M2017" s="1"/>
    </row>
    <row r="2018" spans="2:13" x14ac:dyDescent="0.25">
      <c r="B2018" s="12"/>
      <c r="C2018" s="13"/>
      <c r="D2018" s="12"/>
      <c r="E2018" s="12"/>
      <c r="F2018" s="12"/>
      <c r="G2018" s="12"/>
      <c r="M2018" s="1"/>
    </row>
    <row r="2019" spans="2:13" x14ac:dyDescent="0.25">
      <c r="B2019" s="12"/>
      <c r="C2019" s="13"/>
      <c r="D2019" s="12"/>
      <c r="E2019" s="12"/>
      <c r="F2019" s="12"/>
      <c r="G2019" s="12"/>
      <c r="M2019" s="1"/>
    </row>
    <row r="2020" spans="2:13" x14ac:dyDescent="0.25">
      <c r="B2020" s="12"/>
      <c r="C2020" s="13"/>
      <c r="D2020" s="12"/>
      <c r="E2020" s="12"/>
      <c r="F2020" s="12"/>
      <c r="G2020" s="12"/>
      <c r="M2020" s="1"/>
    </row>
    <row r="2021" spans="2:13" x14ac:dyDescent="0.25">
      <c r="B2021" s="12"/>
      <c r="C2021" s="13"/>
      <c r="D2021" s="12"/>
      <c r="E2021" s="12"/>
      <c r="F2021" s="12"/>
      <c r="G2021" s="12"/>
      <c r="M2021" s="1"/>
    </row>
    <row r="2022" spans="2:13" x14ac:dyDescent="0.25">
      <c r="B2022" s="12"/>
      <c r="C2022" s="13"/>
      <c r="D2022" s="12"/>
      <c r="E2022" s="12"/>
      <c r="F2022" s="12"/>
      <c r="G2022" s="12"/>
      <c r="M2022" s="1"/>
    </row>
    <row r="2023" spans="2:13" x14ac:dyDescent="0.25">
      <c r="B2023" s="12"/>
      <c r="C2023" s="13"/>
      <c r="D2023" s="12"/>
      <c r="E2023" s="12"/>
      <c r="F2023" s="12"/>
      <c r="G2023" s="12"/>
      <c r="M2023" s="1"/>
    </row>
    <row r="2024" spans="2:13" x14ac:dyDescent="0.25">
      <c r="B2024" s="12"/>
      <c r="C2024" s="13"/>
      <c r="D2024" s="12"/>
      <c r="E2024" s="12"/>
      <c r="F2024" s="12"/>
      <c r="G2024" s="12"/>
      <c r="M2024" s="1"/>
    </row>
    <row r="2025" spans="2:13" x14ac:dyDescent="0.25">
      <c r="B2025" s="12"/>
      <c r="C2025" s="13"/>
      <c r="D2025" s="12"/>
      <c r="E2025" s="12"/>
      <c r="F2025" s="12"/>
      <c r="G2025" s="12"/>
      <c r="M2025" s="1"/>
    </row>
    <row r="2026" spans="2:13" x14ac:dyDescent="0.25">
      <c r="B2026" s="225" t="s">
        <v>0</v>
      </c>
      <c r="C2026" s="225"/>
      <c r="D2026" s="225"/>
      <c r="E2026" s="225"/>
      <c r="F2026" s="225"/>
      <c r="G2026" s="225"/>
      <c r="M2026" s="1"/>
    </row>
    <row r="2027" spans="2:13" x14ac:dyDescent="0.25">
      <c r="B2027" s="225" t="s">
        <v>1</v>
      </c>
      <c r="C2027" s="225"/>
      <c r="D2027" s="225"/>
      <c r="E2027" s="225"/>
      <c r="F2027" s="225"/>
      <c r="G2027" s="225"/>
      <c r="M2027" s="1"/>
    </row>
    <row r="2028" spans="2:13" x14ac:dyDescent="0.25">
      <c r="B2028" s="225" t="s">
        <v>37</v>
      </c>
      <c r="C2028" s="225"/>
      <c r="D2028" s="225"/>
      <c r="E2028" s="225"/>
      <c r="F2028" s="225"/>
      <c r="G2028" s="225"/>
      <c r="M2028" s="1"/>
    </row>
    <row r="2029" spans="2:13" x14ac:dyDescent="0.25">
      <c r="B2029" s="225" t="s">
        <v>50</v>
      </c>
      <c r="C2029" s="225"/>
      <c r="D2029" s="225"/>
      <c r="E2029" s="225"/>
      <c r="F2029" s="225"/>
      <c r="G2029" s="225"/>
      <c r="M2029" s="1"/>
    </row>
    <row r="2030" spans="2:13" x14ac:dyDescent="0.25">
      <c r="B2030" s="225" t="s">
        <v>124</v>
      </c>
      <c r="C2030" s="225"/>
      <c r="D2030" s="225"/>
      <c r="E2030" s="225"/>
      <c r="F2030" s="225"/>
      <c r="G2030" s="225"/>
      <c r="M2030" s="1"/>
    </row>
    <row r="2031" spans="2:13" ht="15.75" thickBot="1" x14ac:dyDescent="0.3">
      <c r="B2031" s="12"/>
      <c r="C2031" s="13"/>
      <c r="D2031" s="12"/>
      <c r="E2031" s="12"/>
      <c r="F2031" s="12"/>
      <c r="G2031" s="12"/>
      <c r="M2031" s="1"/>
    </row>
    <row r="2032" spans="2:13" ht="36.75" thickBot="1" x14ac:dyDescent="0.3">
      <c r="B2032" s="185"/>
      <c r="C2032" s="184" t="s">
        <v>5</v>
      </c>
      <c r="D2032" s="161" t="s">
        <v>72</v>
      </c>
      <c r="E2032" s="172" t="s">
        <v>6</v>
      </c>
      <c r="F2032" s="161" t="s">
        <v>60</v>
      </c>
      <c r="G2032" s="172" t="s">
        <v>7</v>
      </c>
      <c r="H2032" s="180" t="s">
        <v>98</v>
      </c>
      <c r="I2032" s="172" t="s">
        <v>65</v>
      </c>
      <c r="J2032" s="180" t="s">
        <v>99</v>
      </c>
      <c r="K2032" s="177" t="s">
        <v>8</v>
      </c>
      <c r="L2032" s="181" t="s">
        <v>100</v>
      </c>
    </row>
    <row r="2033" spans="2:12" ht="30.75" thickBot="1" x14ac:dyDescent="0.3">
      <c r="B2033" s="186" t="s">
        <v>101</v>
      </c>
      <c r="C2033" s="182">
        <v>8434289.9100000001</v>
      </c>
      <c r="D2033" s="174">
        <v>1</v>
      </c>
      <c r="E2033" s="170">
        <v>2385469.83</v>
      </c>
      <c r="F2033" s="175">
        <f>E2033/C2033</f>
        <v>0.28282995432392011</v>
      </c>
      <c r="G2033" s="170">
        <v>5134206.4400000004</v>
      </c>
      <c r="H2033" s="175">
        <f>G2033/C2033</f>
        <v>0.60873013552838617</v>
      </c>
      <c r="I2033" s="170">
        <f>E2033+G2033</f>
        <v>7519676.2700000005</v>
      </c>
      <c r="J2033" s="175">
        <f>I2033/C2033</f>
        <v>0.89156008985230628</v>
      </c>
      <c r="K2033" s="189">
        <f>C2033-I2033</f>
        <v>914613.63999999966</v>
      </c>
      <c r="L2033" s="190">
        <f>K2033/C2033</f>
        <v>0.1084399101476937</v>
      </c>
    </row>
    <row r="2034" spans="2:12" x14ac:dyDescent="0.25">
      <c r="B2034" s="12"/>
      <c r="C2034" s="13"/>
      <c r="D2034" s="12"/>
      <c r="E2034" s="12"/>
      <c r="F2034" s="12"/>
      <c r="G2034" s="12"/>
    </row>
    <row r="2035" spans="2:12" x14ac:dyDescent="0.25">
      <c r="B2035" s="12"/>
      <c r="C2035" s="13"/>
      <c r="D2035" s="12"/>
      <c r="E2035" s="12"/>
      <c r="F2035" s="12"/>
      <c r="G2035" s="12"/>
    </row>
    <row r="2036" spans="2:12" x14ac:dyDescent="0.25">
      <c r="B2036" s="12"/>
      <c r="C2036" s="13"/>
      <c r="D2036" s="12"/>
      <c r="E2036" s="12"/>
      <c r="F2036" s="12"/>
      <c r="G2036" s="12"/>
    </row>
    <row r="2037" spans="2:12" x14ac:dyDescent="0.25">
      <c r="B2037" s="12"/>
      <c r="C2037" s="13"/>
      <c r="D2037" s="12"/>
      <c r="E2037" s="12"/>
      <c r="F2037" s="12"/>
      <c r="G2037" s="12"/>
    </row>
    <row r="2038" spans="2:12" x14ac:dyDescent="0.25">
      <c r="B2038" s="12"/>
      <c r="C2038" s="13"/>
      <c r="D2038" s="12"/>
      <c r="E2038" s="12"/>
      <c r="F2038" s="12"/>
      <c r="G2038" s="12"/>
    </row>
    <row r="2039" spans="2:12" x14ac:dyDescent="0.25">
      <c r="B2039" s="12"/>
      <c r="C2039" s="13"/>
      <c r="D2039" s="12"/>
      <c r="E2039" s="12"/>
      <c r="F2039" s="12"/>
      <c r="G2039" s="12"/>
    </row>
    <row r="2040" spans="2:12" x14ac:dyDescent="0.25">
      <c r="B2040" s="12"/>
      <c r="C2040" s="13"/>
      <c r="D2040" s="12"/>
      <c r="E2040" s="12"/>
      <c r="F2040" s="12"/>
      <c r="G2040" s="12"/>
    </row>
    <row r="2041" spans="2:12" x14ac:dyDescent="0.25">
      <c r="B2041" s="12"/>
      <c r="C2041" s="13"/>
      <c r="D2041" s="12"/>
      <c r="E2041" s="12"/>
      <c r="F2041" s="12"/>
      <c r="G2041" s="12"/>
    </row>
    <row r="2042" spans="2:12" x14ac:dyDescent="0.25">
      <c r="B2042" s="12"/>
      <c r="C2042" s="13"/>
      <c r="D2042" s="12"/>
      <c r="E2042" s="12"/>
      <c r="F2042" s="12"/>
      <c r="G2042" s="12"/>
    </row>
    <row r="2043" spans="2:12" x14ac:dyDescent="0.25">
      <c r="B2043" s="12"/>
      <c r="C2043" s="13"/>
      <c r="D2043" s="12"/>
      <c r="E2043" s="12"/>
      <c r="F2043" s="12"/>
      <c r="G2043" s="12"/>
    </row>
    <row r="2044" spans="2:12" x14ac:dyDescent="0.25">
      <c r="B2044" s="12"/>
      <c r="C2044" s="13"/>
      <c r="D2044" s="12"/>
      <c r="E2044" s="12"/>
      <c r="F2044" s="12"/>
      <c r="G2044" s="12"/>
    </row>
    <row r="2045" spans="2:12" x14ac:dyDescent="0.25">
      <c r="B2045" s="12"/>
      <c r="C2045" s="13"/>
      <c r="D2045" s="12"/>
      <c r="E2045" s="12"/>
      <c r="F2045" s="12"/>
      <c r="G2045" s="12"/>
    </row>
    <row r="2046" spans="2:12" x14ac:dyDescent="0.25">
      <c r="B2046" s="12"/>
      <c r="C2046" s="13"/>
      <c r="D2046" s="12"/>
      <c r="E2046" s="12"/>
      <c r="F2046" s="12"/>
      <c r="G2046" s="12"/>
    </row>
    <row r="2047" spans="2:12" x14ac:dyDescent="0.25">
      <c r="B2047" s="12"/>
      <c r="C2047" s="13"/>
      <c r="D2047" s="12"/>
      <c r="E2047" s="12"/>
      <c r="F2047" s="12"/>
      <c r="G2047" s="12"/>
    </row>
    <row r="2048" spans="2:12" x14ac:dyDescent="0.25">
      <c r="B2048" s="12"/>
      <c r="C2048" s="13"/>
      <c r="D2048" s="12"/>
      <c r="E2048" s="12"/>
      <c r="F2048" s="12"/>
      <c r="G2048" s="12"/>
    </row>
    <row r="2049" spans="2:7" x14ac:dyDescent="0.25">
      <c r="B2049" s="12"/>
      <c r="C2049" s="13"/>
      <c r="D2049" s="12"/>
      <c r="E2049" s="12"/>
      <c r="F2049" s="12"/>
      <c r="G2049" s="12"/>
    </row>
    <row r="2050" spans="2:7" x14ac:dyDescent="0.25">
      <c r="B2050" s="12"/>
      <c r="C2050" s="13"/>
      <c r="D2050" s="12"/>
      <c r="E2050" s="12"/>
      <c r="F2050" s="12"/>
      <c r="G2050" s="12"/>
    </row>
    <row r="2051" spans="2:7" x14ac:dyDescent="0.25">
      <c r="B2051" s="12"/>
      <c r="C2051" s="13"/>
      <c r="D2051" s="12"/>
      <c r="E2051" s="12"/>
      <c r="F2051" s="12"/>
      <c r="G2051" s="12"/>
    </row>
    <row r="2052" spans="2:7" x14ac:dyDescent="0.25">
      <c r="B2052" s="12"/>
      <c r="C2052" s="13"/>
      <c r="D2052" s="12"/>
      <c r="E2052" s="12"/>
      <c r="F2052" s="12"/>
      <c r="G2052" s="12"/>
    </row>
    <row r="2053" spans="2:7" x14ac:dyDescent="0.25">
      <c r="B2053" s="12"/>
      <c r="C2053" s="13"/>
      <c r="D2053" s="12"/>
      <c r="E2053" s="12"/>
      <c r="F2053" s="12"/>
      <c r="G2053" s="12"/>
    </row>
    <row r="2054" spans="2:7" x14ac:dyDescent="0.25">
      <c r="B2054" s="12"/>
      <c r="C2054" s="13"/>
      <c r="D2054" s="12"/>
      <c r="E2054" s="12"/>
      <c r="F2054" s="12"/>
      <c r="G2054" s="12"/>
    </row>
    <row r="2055" spans="2:7" x14ac:dyDescent="0.25">
      <c r="B2055" s="12"/>
      <c r="C2055" s="13"/>
      <c r="D2055" s="12"/>
      <c r="E2055" s="12"/>
      <c r="F2055" s="12"/>
      <c r="G2055" s="12"/>
    </row>
    <row r="2056" spans="2:7" x14ac:dyDescent="0.25">
      <c r="B2056" s="12"/>
      <c r="C2056" s="13"/>
      <c r="D2056" s="12"/>
      <c r="E2056" s="12"/>
      <c r="F2056" s="12"/>
      <c r="G2056" s="12"/>
    </row>
    <row r="2057" spans="2:7" x14ac:dyDescent="0.25">
      <c r="B2057" s="12"/>
      <c r="C2057" s="13"/>
      <c r="D2057" s="12"/>
      <c r="E2057" s="12"/>
      <c r="F2057" s="12"/>
      <c r="G2057" s="12"/>
    </row>
    <row r="2058" spans="2:7" x14ac:dyDescent="0.25">
      <c r="B2058" s="12"/>
      <c r="C2058" s="13"/>
      <c r="D2058" s="12"/>
      <c r="E2058" s="12"/>
      <c r="F2058" s="12"/>
      <c r="G2058" s="12"/>
    </row>
    <row r="2059" spans="2:7" x14ac:dyDescent="0.25">
      <c r="B2059" s="12"/>
      <c r="C2059" s="13"/>
      <c r="D2059" s="12"/>
      <c r="E2059" s="12"/>
      <c r="F2059" s="12"/>
      <c r="G2059" s="12"/>
    </row>
    <row r="2060" spans="2:7" x14ac:dyDescent="0.25">
      <c r="B2060" s="12"/>
      <c r="C2060" s="13"/>
      <c r="D2060" s="12"/>
      <c r="E2060" s="12"/>
      <c r="F2060" s="12"/>
      <c r="G2060" s="12"/>
    </row>
    <row r="2061" spans="2:7" x14ac:dyDescent="0.25">
      <c r="B2061" s="12"/>
      <c r="C2061" s="13"/>
      <c r="D2061" s="12"/>
      <c r="E2061" s="12"/>
      <c r="F2061" s="12"/>
      <c r="G2061" s="12"/>
    </row>
    <row r="2062" spans="2:7" x14ac:dyDescent="0.25">
      <c r="B2062" s="12"/>
      <c r="C2062" s="13"/>
      <c r="D2062" s="12"/>
      <c r="E2062" s="12"/>
      <c r="F2062" s="12"/>
      <c r="G2062" s="12"/>
    </row>
    <row r="2063" spans="2:7" x14ac:dyDescent="0.25">
      <c r="B2063" s="12"/>
      <c r="C2063" s="13"/>
      <c r="D2063" s="12"/>
      <c r="E2063" s="12"/>
      <c r="F2063" s="12"/>
      <c r="G2063" s="12"/>
    </row>
    <row r="2064" spans="2:7" x14ac:dyDescent="0.25">
      <c r="B2064" s="12"/>
      <c r="C2064" s="13"/>
      <c r="D2064" s="12"/>
      <c r="E2064" s="12"/>
      <c r="F2064" s="12"/>
      <c r="G2064" s="12"/>
    </row>
    <row r="2065" spans="2:7" x14ac:dyDescent="0.25">
      <c r="B2065" s="12"/>
      <c r="C2065" s="13"/>
      <c r="D2065" s="12"/>
      <c r="E2065" s="12"/>
      <c r="F2065" s="12"/>
      <c r="G2065" s="12"/>
    </row>
    <row r="2066" spans="2:7" x14ac:dyDescent="0.25">
      <c r="B2066" s="12"/>
      <c r="C2066" s="13"/>
      <c r="D2066" s="12"/>
      <c r="E2066" s="12"/>
      <c r="F2066" s="12"/>
      <c r="G2066" s="12"/>
    </row>
    <row r="2067" spans="2:7" x14ac:dyDescent="0.25">
      <c r="B2067" s="12"/>
      <c r="C2067" s="13"/>
      <c r="D2067" s="12"/>
      <c r="E2067" s="12"/>
      <c r="F2067" s="12"/>
      <c r="G2067" s="12"/>
    </row>
    <row r="2068" spans="2:7" x14ac:dyDescent="0.25">
      <c r="B2068" s="12"/>
      <c r="C2068" s="13"/>
      <c r="D2068" s="12"/>
      <c r="E2068" s="12"/>
      <c r="F2068" s="12"/>
      <c r="G2068" s="12"/>
    </row>
    <row r="2069" spans="2:7" x14ac:dyDescent="0.25">
      <c r="B2069" s="12"/>
      <c r="C2069" s="13"/>
      <c r="D2069" s="12"/>
      <c r="E2069" s="12"/>
      <c r="F2069" s="12"/>
      <c r="G2069" s="12"/>
    </row>
    <row r="2070" spans="2:7" x14ac:dyDescent="0.25">
      <c r="B2070" s="12"/>
      <c r="C2070" s="13"/>
      <c r="D2070" s="12"/>
      <c r="E2070" s="12"/>
      <c r="F2070" s="12"/>
      <c r="G2070" s="12"/>
    </row>
    <row r="2071" spans="2:7" x14ac:dyDescent="0.25">
      <c r="B2071" s="12"/>
      <c r="C2071" s="13"/>
      <c r="D2071" s="12"/>
      <c r="E2071" s="12"/>
      <c r="F2071" s="12"/>
      <c r="G2071" s="12"/>
    </row>
    <row r="2072" spans="2:7" x14ac:dyDescent="0.25">
      <c r="B2072" s="12"/>
      <c r="C2072" s="13"/>
      <c r="D2072" s="12"/>
      <c r="E2072" s="12"/>
      <c r="F2072" s="12"/>
      <c r="G2072" s="12"/>
    </row>
    <row r="2073" spans="2:7" x14ac:dyDescent="0.25">
      <c r="B2073" s="12"/>
      <c r="C2073" s="13"/>
      <c r="D2073" s="12"/>
      <c r="E2073" s="12"/>
      <c r="F2073" s="12"/>
      <c r="G2073" s="12"/>
    </row>
    <row r="2074" spans="2:7" x14ac:dyDescent="0.25">
      <c r="B2074" s="12"/>
      <c r="C2074" s="13"/>
      <c r="D2074" s="12"/>
      <c r="E2074" s="12"/>
      <c r="F2074" s="12"/>
      <c r="G2074" s="12"/>
    </row>
    <row r="2075" spans="2:7" x14ac:dyDescent="0.25">
      <c r="B2075" s="12"/>
      <c r="C2075" s="13"/>
      <c r="D2075" s="12"/>
      <c r="E2075" s="12"/>
      <c r="F2075" s="12"/>
      <c r="G2075" s="12"/>
    </row>
    <row r="2076" spans="2:7" x14ac:dyDescent="0.25">
      <c r="B2076" s="12"/>
      <c r="C2076" s="13"/>
      <c r="D2076" s="12"/>
      <c r="E2076" s="12"/>
      <c r="F2076" s="12"/>
      <c r="G2076" s="12"/>
    </row>
    <row r="2077" spans="2:7" x14ac:dyDescent="0.25">
      <c r="B2077" s="12"/>
      <c r="C2077" s="13"/>
      <c r="D2077" s="12"/>
      <c r="E2077" s="12"/>
      <c r="F2077" s="12"/>
      <c r="G2077" s="12"/>
    </row>
    <row r="2078" spans="2:7" x14ac:dyDescent="0.25">
      <c r="B2078" s="12"/>
      <c r="C2078" s="13"/>
      <c r="D2078" s="12"/>
      <c r="E2078" s="12"/>
      <c r="F2078" s="12"/>
      <c r="G2078" s="12"/>
    </row>
    <row r="2079" spans="2:7" x14ac:dyDescent="0.25">
      <c r="B2079" s="225" t="s">
        <v>0</v>
      </c>
      <c r="C2079" s="225"/>
      <c r="D2079" s="225"/>
      <c r="E2079" s="225"/>
      <c r="F2079" s="225"/>
      <c r="G2079" s="225"/>
    </row>
    <row r="2080" spans="2:7" x14ac:dyDescent="0.25">
      <c r="B2080" s="225" t="s">
        <v>1</v>
      </c>
      <c r="C2080" s="225"/>
      <c r="D2080" s="225"/>
      <c r="E2080" s="225"/>
      <c r="F2080" s="225"/>
      <c r="G2080" s="225"/>
    </row>
    <row r="2081" spans="2:13" x14ac:dyDescent="0.25">
      <c r="B2081" s="225" t="s">
        <v>37</v>
      </c>
      <c r="C2081" s="225"/>
      <c r="D2081" s="225"/>
      <c r="E2081" s="225"/>
      <c r="F2081" s="225"/>
      <c r="G2081" s="225"/>
    </row>
    <row r="2082" spans="2:13" x14ac:dyDescent="0.25">
      <c r="B2082" s="225" t="s">
        <v>51</v>
      </c>
      <c r="C2082" s="225"/>
      <c r="D2082" s="225"/>
      <c r="E2082" s="225"/>
      <c r="F2082" s="225"/>
      <c r="G2082" s="225"/>
    </row>
    <row r="2083" spans="2:13" x14ac:dyDescent="0.25">
      <c r="B2083" s="225" t="s">
        <v>124</v>
      </c>
      <c r="C2083" s="225"/>
      <c r="D2083" s="225"/>
      <c r="E2083" s="225"/>
      <c r="F2083" s="225"/>
      <c r="G2083" s="225"/>
    </row>
    <row r="2084" spans="2:13" ht="15.75" thickBot="1" x14ac:dyDescent="0.3">
      <c r="B2084" s="159"/>
      <c r="C2084" s="159"/>
      <c r="D2084" s="159"/>
      <c r="E2084" s="159"/>
      <c r="F2084" s="159"/>
      <c r="G2084" s="12"/>
    </row>
    <row r="2085" spans="2:13" ht="24.75" thickBot="1" x14ac:dyDescent="0.3">
      <c r="B2085" s="2" t="s">
        <v>4</v>
      </c>
      <c r="C2085" s="3" t="s">
        <v>5</v>
      </c>
      <c r="D2085" s="3" t="s">
        <v>6</v>
      </c>
      <c r="E2085" s="4" t="s">
        <v>7</v>
      </c>
      <c r="F2085" s="3" t="s">
        <v>65</v>
      </c>
      <c r="G2085" s="3" t="s">
        <v>8</v>
      </c>
    </row>
    <row r="2086" spans="2:13" x14ac:dyDescent="0.25">
      <c r="B2086" s="226" t="s">
        <v>25</v>
      </c>
      <c r="C2086" s="228">
        <v>23451.8</v>
      </c>
      <c r="D2086" s="245">
        <v>13248.17</v>
      </c>
      <c r="E2086" s="229">
        <f>13918.07-D2086</f>
        <v>669.89999999999964</v>
      </c>
      <c r="F2086" s="228">
        <f>D2086+E2086</f>
        <v>13918.07</v>
      </c>
      <c r="G2086" s="228">
        <f>C2086-D2086-E2086</f>
        <v>9533.73</v>
      </c>
    </row>
    <row r="2087" spans="2:13" ht="15.75" thickBot="1" x14ac:dyDescent="0.3">
      <c r="B2087" s="227"/>
      <c r="C2087" s="215"/>
      <c r="D2087" s="234"/>
      <c r="E2087" s="230"/>
      <c r="F2087" s="215"/>
      <c r="G2087" s="215"/>
    </row>
    <row r="2088" spans="2:13" x14ac:dyDescent="0.25">
      <c r="B2088" s="231" t="s">
        <v>26</v>
      </c>
      <c r="C2088" s="215">
        <v>8600</v>
      </c>
      <c r="D2088" s="216">
        <v>40</v>
      </c>
      <c r="E2088" s="236">
        <f>40-D2088</f>
        <v>0</v>
      </c>
      <c r="F2088" s="216">
        <f>D2088+E2088</f>
        <v>40</v>
      </c>
      <c r="G2088" s="228">
        <f>C2088-D2088-E2088</f>
        <v>8560</v>
      </c>
    </row>
    <row r="2089" spans="2:13" ht="15.75" thickBot="1" x14ac:dyDescent="0.3">
      <c r="B2089" s="231"/>
      <c r="C2089" s="215"/>
      <c r="D2089" s="234"/>
      <c r="E2089" s="263"/>
      <c r="F2089" s="217"/>
      <c r="G2089" s="215"/>
    </row>
    <row r="2090" spans="2:13" x14ac:dyDescent="0.25">
      <c r="B2090" s="231" t="s">
        <v>27</v>
      </c>
      <c r="C2090" s="215">
        <v>0</v>
      </c>
      <c r="D2090" s="216">
        <v>0</v>
      </c>
      <c r="E2090" s="236">
        <f>0-D2090</f>
        <v>0</v>
      </c>
      <c r="F2090" s="216">
        <f t="shared" ref="F2090" si="123">D2090+E2090</f>
        <v>0</v>
      </c>
      <c r="G2090" s="228">
        <f>C2090-D2090-E2090</f>
        <v>0</v>
      </c>
    </row>
    <row r="2091" spans="2:13" ht="15.75" thickBot="1" x14ac:dyDescent="0.3">
      <c r="B2091" s="231"/>
      <c r="C2091" s="215"/>
      <c r="D2091" s="234"/>
      <c r="E2091" s="263"/>
      <c r="F2091" s="217"/>
      <c r="G2091" s="215"/>
    </row>
    <row r="2092" spans="2:13" ht="30.75" thickBot="1" x14ac:dyDescent="0.3">
      <c r="B2092" s="231" t="s">
        <v>28</v>
      </c>
      <c r="C2092" s="215">
        <v>0</v>
      </c>
      <c r="D2092" s="216">
        <v>0</v>
      </c>
      <c r="E2092" s="236">
        <f>C2092-D2092</f>
        <v>0</v>
      </c>
      <c r="F2092" s="216">
        <f t="shared" ref="F2092" si="124">D2092+E2092</f>
        <v>0</v>
      </c>
      <c r="G2092" s="228">
        <f>C2092-D2092-E2092</f>
        <v>0</v>
      </c>
      <c r="H2092" s="155" t="s">
        <v>67</v>
      </c>
      <c r="I2092" s="154" t="s">
        <v>60</v>
      </c>
      <c r="J2092" s="120" t="s">
        <v>61</v>
      </c>
      <c r="K2092" s="126" t="s">
        <v>66</v>
      </c>
      <c r="L2092" s="133" t="s">
        <v>62</v>
      </c>
      <c r="M2092" s="140" t="s">
        <v>63</v>
      </c>
    </row>
    <row r="2093" spans="2:13" ht="15.75" thickBot="1" x14ac:dyDescent="0.3">
      <c r="B2093" s="232"/>
      <c r="C2093" s="216"/>
      <c r="D2093" s="244"/>
      <c r="E2093" s="264"/>
      <c r="F2093" s="222"/>
      <c r="G2093" s="239"/>
      <c r="H2093" s="58">
        <v>100</v>
      </c>
      <c r="I2093" s="59">
        <f>I2094*100/H2094</f>
        <v>41.458420431925823</v>
      </c>
      <c r="J2093" s="59">
        <f>J2094*100/H2094</f>
        <v>2.0900542247237275</v>
      </c>
      <c r="K2093" s="59">
        <f>K2094*100/H2094</f>
        <v>43.548474656649553</v>
      </c>
      <c r="L2093" s="98">
        <f>L2094*100/H2094</f>
        <v>56.451525343350454</v>
      </c>
      <c r="M2093" s="134">
        <f>M2094*100/H2094</f>
        <v>58.541579568074177</v>
      </c>
    </row>
    <row r="2094" spans="2:13" ht="15.75" thickBot="1" x14ac:dyDescent="0.3">
      <c r="B2094" s="14" t="s">
        <v>13</v>
      </c>
      <c r="C2094" s="21">
        <f>SUM(C2086:C2093)</f>
        <v>32051.8</v>
      </c>
      <c r="D2094" s="21">
        <f>SUM(D2086:D2093)</f>
        <v>13288.17</v>
      </c>
      <c r="E2094" s="22">
        <f>SUM(E2086:E2093)</f>
        <v>669.89999999999964</v>
      </c>
      <c r="F2094" s="22">
        <f>SUM(F2086:F2093)</f>
        <v>13958.07</v>
      </c>
      <c r="G2094" s="46">
        <f>C2094-D2094-E2094</f>
        <v>18093.729999999996</v>
      </c>
      <c r="H2094" s="80">
        <f>+C2094</f>
        <v>32051.8</v>
      </c>
      <c r="I2094" s="82">
        <f>+D2094</f>
        <v>13288.17</v>
      </c>
      <c r="J2094" s="82">
        <f>+E2094</f>
        <v>669.89999999999964</v>
      </c>
      <c r="K2094" s="82">
        <f>I2094+J2094</f>
        <v>13958.07</v>
      </c>
      <c r="L2094" s="95">
        <f>H2094-K2094</f>
        <v>18093.73</v>
      </c>
      <c r="M2094" s="141">
        <f>H2094-I2094</f>
        <v>18763.629999999997</v>
      </c>
    </row>
    <row r="2095" spans="2:13" x14ac:dyDescent="0.25">
      <c r="B2095" s="224" t="s">
        <v>29</v>
      </c>
      <c r="C2095" s="234">
        <v>104000</v>
      </c>
      <c r="D2095" s="245">
        <v>65343.46</v>
      </c>
      <c r="E2095" s="223">
        <f>69918.24-D2095</f>
        <v>4574.7800000000061</v>
      </c>
      <c r="F2095" s="212">
        <f t="shared" ref="F2095" si="125">D2095+E2095</f>
        <v>69918.240000000005</v>
      </c>
      <c r="G2095" s="218">
        <f>C2095-D2095-E2095</f>
        <v>34081.759999999995</v>
      </c>
    </row>
    <row r="2096" spans="2:13" ht="15.75" thickBot="1" x14ac:dyDescent="0.3">
      <c r="B2096" s="214"/>
      <c r="C2096" s="215"/>
      <c r="D2096" s="234"/>
      <c r="E2096" s="213"/>
      <c r="F2096" s="213"/>
      <c r="G2096" s="219"/>
    </row>
    <row r="2097" spans="2:13" x14ac:dyDescent="0.25">
      <c r="B2097" s="214" t="s">
        <v>30</v>
      </c>
      <c r="C2097" s="215">
        <v>21533.8</v>
      </c>
      <c r="D2097" s="216">
        <v>1247.58</v>
      </c>
      <c r="E2097" s="212">
        <f>13535.75-D2097</f>
        <v>12288.17</v>
      </c>
      <c r="F2097" s="212">
        <f t="shared" ref="F2097" si="126">D2097+E2097</f>
        <v>13535.75</v>
      </c>
      <c r="G2097" s="218">
        <f>C2097-D2097-E2097</f>
        <v>7998.0500000000011</v>
      </c>
    </row>
    <row r="2098" spans="2:13" ht="15.75" thickBot="1" x14ac:dyDescent="0.3">
      <c r="B2098" s="214"/>
      <c r="C2098" s="215"/>
      <c r="D2098" s="234"/>
      <c r="E2098" s="213"/>
      <c r="F2098" s="213"/>
      <c r="G2098" s="219"/>
    </row>
    <row r="2099" spans="2:13" x14ac:dyDescent="0.25">
      <c r="B2099" s="214" t="s">
        <v>31</v>
      </c>
      <c r="C2099" s="215">
        <v>113868.65</v>
      </c>
      <c r="D2099" s="216">
        <v>0</v>
      </c>
      <c r="E2099" s="212">
        <f>0-D2099</f>
        <v>0</v>
      </c>
      <c r="F2099" s="212">
        <f t="shared" ref="F2099" si="127">D2099+E2099</f>
        <v>0</v>
      </c>
      <c r="G2099" s="218">
        <f>C2099-D2099-E2099</f>
        <v>113868.65</v>
      </c>
    </row>
    <row r="2100" spans="2:13" ht="15.75" thickBot="1" x14ac:dyDescent="0.3">
      <c r="B2100" s="214"/>
      <c r="C2100" s="215"/>
      <c r="D2100" s="234"/>
      <c r="E2100" s="213"/>
      <c r="F2100" s="213"/>
      <c r="G2100" s="219"/>
    </row>
    <row r="2101" spans="2:13" x14ac:dyDescent="0.25">
      <c r="B2101" s="214" t="s">
        <v>32</v>
      </c>
      <c r="C2101" s="215">
        <v>130000</v>
      </c>
      <c r="D2101" s="216">
        <v>34944.01</v>
      </c>
      <c r="E2101" s="212">
        <f>95043.69-D2101</f>
        <v>60099.68</v>
      </c>
      <c r="F2101" s="212">
        <f t="shared" ref="F2101" si="128">D2101+E2101</f>
        <v>95043.69</v>
      </c>
      <c r="G2101" s="218">
        <f>C2101-D2101-E2101</f>
        <v>34956.30999999999</v>
      </c>
    </row>
    <row r="2102" spans="2:13" ht="15.75" thickBot="1" x14ac:dyDescent="0.3">
      <c r="B2102" s="214"/>
      <c r="C2102" s="215"/>
      <c r="D2102" s="234"/>
      <c r="E2102" s="213"/>
      <c r="F2102" s="213"/>
      <c r="G2102" s="219"/>
    </row>
    <row r="2103" spans="2:13" x14ac:dyDescent="0.25">
      <c r="B2103" s="214" t="s">
        <v>33</v>
      </c>
      <c r="C2103" s="215">
        <v>0</v>
      </c>
      <c r="D2103" s="216">
        <v>0</v>
      </c>
      <c r="E2103" s="212">
        <f>0-D2103</f>
        <v>0</v>
      </c>
      <c r="F2103" s="212">
        <f t="shared" ref="F2103" si="129">D2103+E2103</f>
        <v>0</v>
      </c>
      <c r="G2103" s="218">
        <f>C2103-D2103-E2103</f>
        <v>0</v>
      </c>
    </row>
    <row r="2104" spans="2:13" ht="15.75" thickBot="1" x14ac:dyDescent="0.3">
      <c r="B2104" s="214"/>
      <c r="C2104" s="215"/>
      <c r="D2104" s="234"/>
      <c r="E2104" s="213"/>
      <c r="F2104" s="213"/>
      <c r="G2104" s="219"/>
    </row>
    <row r="2105" spans="2:13" x14ac:dyDescent="0.25">
      <c r="B2105" s="214" t="s">
        <v>34</v>
      </c>
      <c r="C2105" s="215">
        <v>0</v>
      </c>
      <c r="D2105" s="216">
        <v>0</v>
      </c>
      <c r="E2105" s="212">
        <f>-D2105</f>
        <v>0</v>
      </c>
      <c r="F2105" s="212">
        <f t="shared" ref="F2105" si="130">D2105+E2105</f>
        <v>0</v>
      </c>
      <c r="G2105" s="218">
        <f>C2105-D2105-E2105</f>
        <v>0</v>
      </c>
    </row>
    <row r="2106" spans="2:13" ht="15.75" thickBot="1" x14ac:dyDescent="0.3">
      <c r="B2106" s="214"/>
      <c r="C2106" s="215"/>
      <c r="D2106" s="234"/>
      <c r="E2106" s="213"/>
      <c r="F2106" s="213"/>
      <c r="G2106" s="219"/>
    </row>
    <row r="2107" spans="2:13" x14ac:dyDescent="0.25">
      <c r="B2107" s="214" t="s">
        <v>35</v>
      </c>
      <c r="C2107" s="215">
        <v>0</v>
      </c>
      <c r="D2107" s="216">
        <v>0</v>
      </c>
      <c r="E2107" s="212">
        <f>-D2107</f>
        <v>0</v>
      </c>
      <c r="F2107" s="212">
        <f t="shared" ref="F2107" si="131">D2107+E2107</f>
        <v>0</v>
      </c>
      <c r="G2107" s="218">
        <f>C2107-D2107-E2107</f>
        <v>0</v>
      </c>
    </row>
    <row r="2108" spans="2:13" ht="15.75" thickBot="1" x14ac:dyDescent="0.3">
      <c r="B2108" s="214"/>
      <c r="C2108" s="215"/>
      <c r="D2108" s="234"/>
      <c r="E2108" s="213"/>
      <c r="F2108" s="213"/>
      <c r="G2108" s="219"/>
    </row>
    <row r="2109" spans="2:13" ht="30.75" thickBot="1" x14ac:dyDescent="0.3">
      <c r="B2109" s="214" t="s">
        <v>36</v>
      </c>
      <c r="C2109" s="215">
        <v>0</v>
      </c>
      <c r="D2109" s="216">
        <v>0</v>
      </c>
      <c r="E2109" s="212">
        <f>-D2109</f>
        <v>0</v>
      </c>
      <c r="F2109" s="212">
        <f t="shared" ref="F2109" si="132">D2109+E2109</f>
        <v>0</v>
      </c>
      <c r="G2109" s="218">
        <f>C2109-D2109-E2109</f>
        <v>0</v>
      </c>
      <c r="H2109" s="155" t="s">
        <v>67</v>
      </c>
      <c r="I2109" s="154" t="s">
        <v>60</v>
      </c>
      <c r="J2109" s="120" t="s">
        <v>61</v>
      </c>
      <c r="K2109" s="126" t="s">
        <v>66</v>
      </c>
      <c r="L2109" s="133" t="s">
        <v>62</v>
      </c>
      <c r="M2109" s="137" t="s">
        <v>63</v>
      </c>
    </row>
    <row r="2110" spans="2:13" ht="15.75" thickBot="1" x14ac:dyDescent="0.3">
      <c r="B2110" s="220"/>
      <c r="C2110" s="221"/>
      <c r="D2110" s="244"/>
      <c r="E2110" s="213"/>
      <c r="F2110" s="213"/>
      <c r="G2110" s="219"/>
      <c r="H2110" s="33">
        <v>100</v>
      </c>
      <c r="I2110" s="88">
        <f>I2111*100/H2111</f>
        <v>27.486295773078922</v>
      </c>
      <c r="J2110" s="88">
        <f>J2111*100/H2111</f>
        <v>20.834358299464444</v>
      </c>
      <c r="K2110" s="34">
        <f>(D2111+E2111)*100/C2111</f>
        <v>48.32065407254337</v>
      </c>
      <c r="L2110" s="118">
        <f>G2111*100/C2111</f>
        <v>51.679345927456623</v>
      </c>
      <c r="M2110" s="112">
        <f>M2111*100/H2111</f>
        <v>72.513704226921078</v>
      </c>
    </row>
    <row r="2111" spans="2:13" ht="15.75" thickBot="1" x14ac:dyDescent="0.3">
      <c r="B2111" s="14" t="s">
        <v>22</v>
      </c>
      <c r="C2111" s="15">
        <f>SUM(C2095:C2110)</f>
        <v>369402.45</v>
      </c>
      <c r="D2111" s="15">
        <f>SUM(D2095:D2109)</f>
        <v>101535.04999999999</v>
      </c>
      <c r="E2111" s="16">
        <f>SUM(E2095:E2110)</f>
        <v>76962.63</v>
      </c>
      <c r="F2111" s="16">
        <f>SUM(F2095:F2110)</f>
        <v>178497.68</v>
      </c>
      <c r="G2111" s="46">
        <f>C2111-D2111-E2111</f>
        <v>190904.77000000002</v>
      </c>
      <c r="H2111" s="77">
        <f>K2111+L2111</f>
        <v>369402.45</v>
      </c>
      <c r="I2111" s="78">
        <f>+D2111</f>
        <v>101535.04999999999</v>
      </c>
      <c r="J2111" s="78">
        <f>+E2111</f>
        <v>76962.63</v>
      </c>
      <c r="K2111" s="79">
        <f>D2111+E2111</f>
        <v>178497.68</v>
      </c>
      <c r="L2111" s="90">
        <f>+G2111</f>
        <v>190904.77000000002</v>
      </c>
      <c r="M2111" s="97">
        <f>H2111-I2111</f>
        <v>267867.40000000002</v>
      </c>
    </row>
    <row r="2112" spans="2:13" ht="15.75" thickBot="1" x14ac:dyDescent="0.3">
      <c r="B2112" s="17" t="s">
        <v>23</v>
      </c>
      <c r="C2112" s="18">
        <f>C2094+C2111</f>
        <v>401454.25</v>
      </c>
      <c r="D2112" s="19">
        <f>D2111+D2094</f>
        <v>114823.21999999999</v>
      </c>
      <c r="E2112" s="20">
        <f>E2094+E2111</f>
        <v>77632.53</v>
      </c>
      <c r="F2112" s="20">
        <f>F2094+F2111</f>
        <v>192455.75</v>
      </c>
      <c r="G2112" s="28">
        <f>C2112-D2112-E2112</f>
        <v>208998.50000000003</v>
      </c>
      <c r="H2112" s="50">
        <f>+C2112</f>
        <v>401454.25</v>
      </c>
      <c r="I2112" s="51">
        <f>+D2112</f>
        <v>114823.21999999999</v>
      </c>
      <c r="J2112" s="51">
        <f>+E2112</f>
        <v>77632.53</v>
      </c>
      <c r="K2112" s="51">
        <f>I2112+J2112</f>
        <v>192455.75</v>
      </c>
      <c r="L2112" s="100">
        <f>H2112-K2112</f>
        <v>208998.5</v>
      </c>
      <c r="M2112" s="97">
        <f>H2112-I2112</f>
        <v>286631.03000000003</v>
      </c>
    </row>
    <row r="2113" spans="2:13" ht="15.75" thickBot="1" x14ac:dyDescent="0.3">
      <c r="B2113" s="12"/>
      <c r="C2113" s="13"/>
      <c r="D2113" s="12"/>
      <c r="E2113" s="12"/>
      <c r="F2113" s="12"/>
      <c r="G2113" s="12"/>
      <c r="H2113" s="129">
        <v>100</v>
      </c>
      <c r="I2113" s="130">
        <f>I2112*100/H2112</f>
        <v>28.601819509944153</v>
      </c>
      <c r="J2113" s="130">
        <f>J2112*100/H2112</f>
        <v>19.33782741121809</v>
      </c>
      <c r="K2113" s="130">
        <f>K2112*100/H2112</f>
        <v>47.93964692116225</v>
      </c>
      <c r="L2113" s="131">
        <f>L2112*100/H2112</f>
        <v>52.06035307883775</v>
      </c>
      <c r="M2113" s="132">
        <f>M2112*100/H2112</f>
        <v>71.39818049005585</v>
      </c>
    </row>
    <row r="2114" spans="2:13" x14ac:dyDescent="0.25">
      <c r="B2114" s="12"/>
      <c r="C2114" s="13"/>
      <c r="D2114" s="12"/>
      <c r="E2114" s="12"/>
      <c r="F2114" s="12"/>
      <c r="G2114" s="12"/>
    </row>
    <row r="2115" spans="2:13" x14ac:dyDescent="0.25">
      <c r="B2115" s="12"/>
      <c r="C2115" s="13"/>
      <c r="D2115" s="12"/>
      <c r="E2115" s="12"/>
      <c r="F2115" s="12"/>
      <c r="G2115" s="12"/>
    </row>
    <row r="2116" spans="2:13" x14ac:dyDescent="0.25">
      <c r="B2116" s="12"/>
      <c r="C2116" s="13"/>
      <c r="D2116" s="12"/>
      <c r="E2116" s="12"/>
      <c r="F2116" s="12"/>
      <c r="G2116" s="12"/>
    </row>
    <row r="2117" spans="2:13" x14ac:dyDescent="0.25">
      <c r="B2117" s="12"/>
      <c r="C2117" s="13"/>
      <c r="D2117" s="12"/>
      <c r="E2117" s="12"/>
      <c r="F2117" s="12"/>
      <c r="G2117" s="12"/>
    </row>
    <row r="2118" spans="2:13" x14ac:dyDescent="0.25">
      <c r="B2118" s="12"/>
      <c r="C2118" s="13"/>
      <c r="D2118" s="12"/>
      <c r="E2118" s="12"/>
      <c r="F2118" s="12"/>
      <c r="G2118" s="12"/>
    </row>
    <row r="2119" spans="2:13" x14ac:dyDescent="0.25">
      <c r="B2119" s="12"/>
      <c r="C2119" s="13"/>
      <c r="D2119" s="12"/>
      <c r="E2119" s="12"/>
      <c r="F2119" s="12"/>
      <c r="G2119" s="12"/>
    </row>
    <row r="2120" spans="2:13" x14ac:dyDescent="0.25">
      <c r="B2120" s="12"/>
      <c r="C2120" s="13"/>
      <c r="D2120" s="12"/>
      <c r="E2120" s="12"/>
      <c r="F2120" s="12"/>
      <c r="G2120" s="12"/>
    </row>
    <row r="2121" spans="2:13" x14ac:dyDescent="0.25">
      <c r="B2121" s="12"/>
      <c r="C2121" s="13"/>
      <c r="D2121" s="12"/>
      <c r="E2121" s="12"/>
      <c r="F2121" s="12"/>
      <c r="G2121" s="12"/>
    </row>
    <row r="2122" spans="2:13" x14ac:dyDescent="0.25">
      <c r="B2122" s="12"/>
      <c r="C2122" s="13"/>
      <c r="D2122" s="12"/>
      <c r="E2122" s="12"/>
      <c r="F2122" s="12"/>
      <c r="G2122" s="12"/>
    </row>
    <row r="2123" spans="2:13" x14ac:dyDescent="0.25">
      <c r="B2123" s="12"/>
      <c r="C2123" s="13"/>
      <c r="D2123" s="12"/>
      <c r="E2123" s="12"/>
      <c r="F2123" s="12"/>
      <c r="G2123" s="12"/>
    </row>
    <row r="2124" spans="2:13" x14ac:dyDescent="0.25">
      <c r="B2124" s="12"/>
      <c r="C2124" s="13"/>
      <c r="D2124" s="12"/>
      <c r="E2124" s="12"/>
      <c r="F2124" s="12"/>
      <c r="G2124" s="12"/>
    </row>
    <row r="2125" spans="2:13" x14ac:dyDescent="0.25">
      <c r="B2125" s="12"/>
      <c r="C2125" s="13"/>
      <c r="D2125" s="12"/>
      <c r="E2125" s="12"/>
      <c r="F2125" s="12"/>
      <c r="G2125" s="12"/>
    </row>
    <row r="2126" spans="2:13" x14ac:dyDescent="0.25">
      <c r="B2126" s="12"/>
      <c r="C2126" s="13"/>
      <c r="D2126" s="12"/>
      <c r="E2126" s="12"/>
      <c r="F2126" s="12"/>
      <c r="G2126" s="12"/>
    </row>
    <row r="2127" spans="2:13" x14ac:dyDescent="0.25">
      <c r="B2127" s="12"/>
      <c r="C2127" s="13"/>
      <c r="D2127" s="12"/>
      <c r="E2127" s="12"/>
      <c r="F2127" s="12"/>
      <c r="G2127" s="12"/>
    </row>
    <row r="2128" spans="2:13" x14ac:dyDescent="0.25">
      <c r="B2128" s="12"/>
      <c r="C2128" s="13"/>
      <c r="D2128" s="12"/>
      <c r="E2128" s="12"/>
      <c r="F2128" s="12"/>
      <c r="G2128" s="12"/>
    </row>
    <row r="2129" spans="2:12" x14ac:dyDescent="0.25">
      <c r="B2129" s="12"/>
      <c r="C2129" s="13"/>
      <c r="D2129" s="12"/>
      <c r="E2129" s="12"/>
      <c r="F2129" s="12"/>
      <c r="G2129" s="12"/>
    </row>
    <row r="2130" spans="2:12" x14ac:dyDescent="0.25">
      <c r="B2130" s="12"/>
      <c r="C2130" s="13"/>
      <c r="D2130" s="12"/>
      <c r="E2130" s="12"/>
      <c r="F2130" s="12"/>
      <c r="G2130" s="12"/>
    </row>
    <row r="2131" spans="2:12" x14ac:dyDescent="0.25">
      <c r="B2131" s="225" t="s">
        <v>0</v>
      </c>
      <c r="C2131" s="225"/>
      <c r="D2131" s="225"/>
      <c r="E2131" s="225"/>
      <c r="F2131" s="225"/>
      <c r="G2131" s="225"/>
    </row>
    <row r="2132" spans="2:12" x14ac:dyDescent="0.25">
      <c r="B2132" s="225" t="s">
        <v>1</v>
      </c>
      <c r="C2132" s="225"/>
      <c r="D2132" s="225"/>
      <c r="E2132" s="225"/>
      <c r="F2132" s="225"/>
      <c r="G2132" s="225"/>
    </row>
    <row r="2133" spans="2:12" x14ac:dyDescent="0.25">
      <c r="B2133" s="225" t="s">
        <v>37</v>
      </c>
      <c r="C2133" s="225"/>
      <c r="D2133" s="225"/>
      <c r="E2133" s="225"/>
      <c r="F2133" s="225"/>
      <c r="G2133" s="225"/>
    </row>
    <row r="2134" spans="2:12" x14ac:dyDescent="0.25">
      <c r="B2134" s="225" t="s">
        <v>51</v>
      </c>
      <c r="C2134" s="225"/>
      <c r="D2134" s="225"/>
      <c r="E2134" s="225"/>
      <c r="F2134" s="225"/>
      <c r="G2134" s="225"/>
    </row>
    <row r="2135" spans="2:12" x14ac:dyDescent="0.25">
      <c r="B2135" s="225" t="s">
        <v>124</v>
      </c>
      <c r="C2135" s="225"/>
      <c r="D2135" s="225"/>
      <c r="E2135" s="225"/>
      <c r="F2135" s="225"/>
      <c r="G2135" s="225"/>
    </row>
    <row r="2136" spans="2:12" ht="15.75" thickBot="1" x14ac:dyDescent="0.3">
      <c r="B2136" s="12"/>
      <c r="C2136" s="13"/>
      <c r="D2136" s="12"/>
      <c r="E2136" s="12"/>
      <c r="F2136" s="12"/>
      <c r="G2136" s="12"/>
    </row>
    <row r="2137" spans="2:12" ht="36.75" thickBot="1" x14ac:dyDescent="0.3">
      <c r="B2137" s="185"/>
      <c r="C2137" s="184" t="s">
        <v>5</v>
      </c>
      <c r="D2137" s="161" t="s">
        <v>72</v>
      </c>
      <c r="E2137" s="172" t="s">
        <v>6</v>
      </c>
      <c r="F2137" s="161" t="s">
        <v>60</v>
      </c>
      <c r="G2137" s="172" t="s">
        <v>7</v>
      </c>
      <c r="H2137" s="180" t="s">
        <v>98</v>
      </c>
      <c r="I2137" s="172" t="s">
        <v>65</v>
      </c>
      <c r="J2137" s="180" t="s">
        <v>99</v>
      </c>
      <c r="K2137" s="177" t="s">
        <v>8</v>
      </c>
      <c r="L2137" s="181" t="s">
        <v>100</v>
      </c>
    </row>
    <row r="2138" spans="2:12" ht="30.75" thickBot="1" x14ac:dyDescent="0.3">
      <c r="B2138" s="186" t="s">
        <v>109</v>
      </c>
      <c r="C2138" s="182">
        <v>401454.25</v>
      </c>
      <c r="D2138" s="174">
        <v>1</v>
      </c>
      <c r="E2138" s="170">
        <v>114823.22</v>
      </c>
      <c r="F2138" s="175">
        <f>E2138/C2138</f>
        <v>0.2860181950994416</v>
      </c>
      <c r="G2138" s="170">
        <v>77632.53</v>
      </c>
      <c r="H2138" s="175">
        <f>G2138/C2138</f>
        <v>0.19337827411218089</v>
      </c>
      <c r="I2138" s="170">
        <f>E2138+G2138</f>
        <v>192455.75</v>
      </c>
      <c r="J2138" s="175">
        <f>I2138/C2138</f>
        <v>0.47939646921162249</v>
      </c>
      <c r="K2138" s="189">
        <f>C2138-I2138</f>
        <v>208998.5</v>
      </c>
      <c r="L2138" s="190">
        <f>K2138/C2138</f>
        <v>0.52060353078837751</v>
      </c>
    </row>
    <row r="2139" spans="2:12" x14ac:dyDescent="0.25">
      <c r="B2139" s="12"/>
      <c r="C2139" s="13"/>
      <c r="D2139" s="12"/>
      <c r="E2139" s="12"/>
      <c r="F2139" s="12"/>
      <c r="G2139" s="12"/>
    </row>
    <row r="2140" spans="2:12" x14ac:dyDescent="0.25">
      <c r="B2140" s="12"/>
      <c r="C2140" s="13"/>
      <c r="D2140" s="12"/>
      <c r="E2140" s="12"/>
      <c r="F2140" s="12"/>
      <c r="G2140" s="12"/>
    </row>
    <row r="2141" spans="2:12" x14ac:dyDescent="0.25">
      <c r="B2141" s="12"/>
      <c r="C2141" s="13"/>
      <c r="D2141" s="12"/>
      <c r="E2141" s="12"/>
      <c r="F2141" s="12"/>
      <c r="G2141" s="12"/>
    </row>
    <row r="2142" spans="2:12" x14ac:dyDescent="0.25">
      <c r="B2142" s="12"/>
      <c r="C2142" s="13"/>
      <c r="D2142" s="12"/>
      <c r="E2142" s="12"/>
      <c r="F2142" s="12"/>
      <c r="G2142" s="12"/>
    </row>
    <row r="2143" spans="2:12" x14ac:dyDescent="0.25">
      <c r="B2143" s="12"/>
      <c r="C2143" s="13"/>
      <c r="D2143" s="12"/>
      <c r="E2143" s="12"/>
      <c r="F2143" s="12"/>
      <c r="G2143" s="12"/>
    </row>
    <row r="2144" spans="2:12" x14ac:dyDescent="0.25">
      <c r="B2144" s="12"/>
      <c r="C2144" s="13"/>
      <c r="D2144" s="12"/>
      <c r="E2144" s="12"/>
      <c r="F2144" s="12"/>
      <c r="G2144" s="12"/>
    </row>
    <row r="2145" spans="2:7" x14ac:dyDescent="0.25">
      <c r="B2145" s="12"/>
      <c r="C2145" s="13"/>
      <c r="D2145" s="12"/>
      <c r="E2145" s="12"/>
      <c r="F2145" s="12"/>
      <c r="G2145" s="12"/>
    </row>
    <row r="2146" spans="2:7" x14ac:dyDescent="0.25">
      <c r="B2146" s="12"/>
      <c r="C2146" s="13"/>
      <c r="D2146" s="12"/>
      <c r="E2146" s="12"/>
      <c r="F2146" s="12"/>
      <c r="G2146" s="12"/>
    </row>
    <row r="2147" spans="2:7" x14ac:dyDescent="0.25">
      <c r="B2147" s="12"/>
      <c r="C2147" s="13"/>
      <c r="D2147" s="12"/>
      <c r="E2147" s="12"/>
      <c r="F2147" s="12"/>
      <c r="G2147" s="12"/>
    </row>
    <row r="2148" spans="2:7" x14ac:dyDescent="0.25">
      <c r="B2148" s="12"/>
      <c r="C2148" s="13"/>
      <c r="D2148" s="12"/>
      <c r="E2148" s="12"/>
      <c r="F2148" s="12"/>
      <c r="G2148" s="12"/>
    </row>
    <row r="2149" spans="2:7" x14ac:dyDescent="0.25">
      <c r="B2149" s="12"/>
      <c r="C2149" s="13"/>
      <c r="D2149" s="12"/>
      <c r="E2149" s="12"/>
      <c r="F2149" s="12"/>
      <c r="G2149" s="12"/>
    </row>
    <row r="2150" spans="2:7" x14ac:dyDescent="0.25">
      <c r="B2150" s="12"/>
      <c r="C2150" s="13"/>
      <c r="D2150" s="12"/>
      <c r="E2150" s="12"/>
      <c r="F2150" s="12"/>
      <c r="G2150" s="12"/>
    </row>
    <row r="2151" spans="2:7" x14ac:dyDescent="0.25">
      <c r="B2151" s="12"/>
      <c r="C2151" s="13"/>
      <c r="D2151" s="12"/>
      <c r="E2151" s="12"/>
      <c r="F2151" s="12"/>
      <c r="G2151" s="12"/>
    </row>
    <row r="2152" spans="2:7" x14ac:dyDescent="0.25">
      <c r="B2152" s="12"/>
      <c r="C2152" s="13"/>
      <c r="D2152" s="12"/>
      <c r="E2152" s="12"/>
      <c r="F2152" s="12"/>
      <c r="G2152" s="12"/>
    </row>
    <row r="2153" spans="2:7" x14ac:dyDescent="0.25">
      <c r="B2153" s="12"/>
      <c r="C2153" s="13"/>
      <c r="D2153" s="12"/>
      <c r="E2153" s="12"/>
      <c r="F2153" s="12"/>
      <c r="G2153" s="12"/>
    </row>
    <row r="2154" spans="2:7" x14ac:dyDescent="0.25">
      <c r="B2154" s="12"/>
      <c r="C2154" s="13"/>
      <c r="D2154" s="12"/>
      <c r="E2154" s="12"/>
      <c r="F2154" s="12"/>
      <c r="G2154" s="12"/>
    </row>
    <row r="2155" spans="2:7" x14ac:dyDescent="0.25">
      <c r="B2155" s="12"/>
      <c r="C2155" s="13"/>
      <c r="D2155" s="12"/>
      <c r="E2155" s="12"/>
      <c r="F2155" s="12"/>
      <c r="G2155" s="12"/>
    </row>
    <row r="2156" spans="2:7" x14ac:dyDescent="0.25">
      <c r="B2156" s="12"/>
      <c r="C2156" s="13"/>
      <c r="D2156" s="12"/>
      <c r="E2156" s="12"/>
      <c r="F2156" s="12"/>
      <c r="G2156" s="12"/>
    </row>
    <row r="2157" spans="2:7" x14ac:dyDescent="0.25">
      <c r="B2157" s="12"/>
      <c r="C2157" s="13"/>
      <c r="D2157" s="12"/>
      <c r="E2157" s="12"/>
      <c r="F2157" s="12"/>
      <c r="G2157" s="12"/>
    </row>
    <row r="2158" spans="2:7" x14ac:dyDescent="0.25">
      <c r="B2158" s="12"/>
      <c r="C2158" s="13"/>
      <c r="D2158" s="12"/>
      <c r="E2158" s="12"/>
      <c r="F2158" s="12"/>
      <c r="G2158" s="12"/>
    </row>
    <row r="2159" spans="2:7" x14ac:dyDescent="0.25">
      <c r="B2159" s="12"/>
      <c r="C2159" s="13"/>
      <c r="D2159" s="12"/>
      <c r="E2159" s="12"/>
      <c r="F2159" s="12"/>
      <c r="G2159" s="12"/>
    </row>
    <row r="2160" spans="2:7" x14ac:dyDescent="0.25">
      <c r="B2160" s="12"/>
      <c r="C2160" s="13"/>
      <c r="D2160" s="12"/>
      <c r="E2160" s="12"/>
      <c r="F2160" s="12"/>
      <c r="G2160" s="12"/>
    </row>
    <row r="2161" spans="2:7" x14ac:dyDescent="0.25">
      <c r="B2161" s="12"/>
      <c r="C2161" s="13"/>
      <c r="D2161" s="12"/>
      <c r="E2161" s="12"/>
      <c r="F2161" s="12"/>
      <c r="G2161" s="12"/>
    </row>
    <row r="2162" spans="2:7" x14ac:dyDescent="0.25">
      <c r="B2162" s="12"/>
      <c r="C2162" s="13"/>
      <c r="D2162" s="12"/>
      <c r="E2162" s="12"/>
      <c r="F2162" s="12"/>
      <c r="G2162" s="12"/>
    </row>
    <row r="2163" spans="2:7" x14ac:dyDescent="0.25">
      <c r="B2163" s="12"/>
      <c r="C2163" s="13"/>
      <c r="D2163" s="12"/>
      <c r="E2163" s="12"/>
      <c r="F2163" s="12"/>
      <c r="G2163" s="12"/>
    </row>
    <row r="2164" spans="2:7" x14ac:dyDescent="0.25">
      <c r="B2164" s="12"/>
      <c r="C2164" s="13"/>
      <c r="D2164" s="12"/>
      <c r="E2164" s="12"/>
      <c r="F2164" s="12"/>
      <c r="G2164" s="12"/>
    </row>
    <row r="2165" spans="2:7" x14ac:dyDescent="0.25">
      <c r="B2165" s="12"/>
      <c r="C2165" s="13"/>
      <c r="D2165" s="12"/>
      <c r="E2165" s="12"/>
      <c r="F2165" s="12"/>
      <c r="G2165" s="12"/>
    </row>
    <row r="2166" spans="2:7" x14ac:dyDescent="0.25">
      <c r="B2166" s="12"/>
      <c r="C2166" s="13"/>
      <c r="D2166" s="12"/>
      <c r="E2166" s="12"/>
      <c r="F2166" s="12"/>
      <c r="G2166" s="12"/>
    </row>
    <row r="2167" spans="2:7" x14ac:dyDescent="0.25">
      <c r="B2167" s="12"/>
      <c r="C2167" s="13"/>
      <c r="D2167" s="12"/>
      <c r="E2167" s="12"/>
      <c r="F2167" s="12"/>
      <c r="G2167" s="12"/>
    </row>
    <row r="2168" spans="2:7" x14ac:dyDescent="0.25">
      <c r="B2168" s="12"/>
      <c r="C2168" s="13"/>
      <c r="D2168" s="12"/>
      <c r="E2168" s="12"/>
      <c r="F2168" s="12"/>
      <c r="G2168" s="12"/>
    </row>
    <row r="2169" spans="2:7" x14ac:dyDescent="0.25">
      <c r="B2169" s="12"/>
      <c r="C2169" s="13"/>
      <c r="D2169" s="12"/>
      <c r="E2169" s="12"/>
      <c r="F2169" s="12"/>
      <c r="G2169" s="12"/>
    </row>
    <row r="2170" spans="2:7" x14ac:dyDescent="0.25">
      <c r="B2170" s="12"/>
      <c r="C2170" s="13"/>
      <c r="D2170" s="12"/>
      <c r="E2170" s="12"/>
      <c r="F2170" s="12"/>
      <c r="G2170" s="12"/>
    </row>
    <row r="2171" spans="2:7" x14ac:dyDescent="0.25">
      <c r="B2171" s="12"/>
      <c r="C2171" s="13"/>
      <c r="D2171" s="12"/>
      <c r="E2171" s="12"/>
      <c r="F2171" s="12"/>
      <c r="G2171" s="12"/>
    </row>
    <row r="2172" spans="2:7" x14ac:dyDescent="0.25">
      <c r="B2172" s="12"/>
      <c r="C2172" s="13"/>
      <c r="D2172" s="12"/>
      <c r="E2172" s="12"/>
      <c r="F2172" s="12"/>
      <c r="G2172" s="12"/>
    </row>
    <row r="2173" spans="2:7" x14ac:dyDescent="0.25">
      <c r="B2173" s="12"/>
      <c r="C2173" s="13"/>
      <c r="D2173" s="12"/>
      <c r="E2173" s="12"/>
      <c r="F2173" s="12"/>
      <c r="G2173" s="12"/>
    </row>
    <row r="2174" spans="2:7" x14ac:dyDescent="0.25">
      <c r="B2174" s="12"/>
      <c r="C2174" s="13"/>
      <c r="D2174" s="12"/>
      <c r="E2174" s="12"/>
      <c r="F2174" s="12"/>
      <c r="G2174" s="12"/>
    </row>
    <row r="2175" spans="2:7" x14ac:dyDescent="0.25">
      <c r="B2175" s="12"/>
      <c r="C2175" s="13"/>
      <c r="D2175" s="12"/>
      <c r="E2175" s="12"/>
      <c r="F2175" s="12"/>
      <c r="G2175" s="12"/>
    </row>
    <row r="2176" spans="2:7" x14ac:dyDescent="0.25">
      <c r="B2176" s="12"/>
      <c r="C2176" s="13"/>
      <c r="D2176" s="12"/>
      <c r="E2176" s="12"/>
      <c r="F2176" s="12"/>
      <c r="G2176" s="12"/>
    </row>
    <row r="2177" spans="2:7" x14ac:dyDescent="0.25">
      <c r="B2177" s="12"/>
      <c r="C2177" s="13"/>
      <c r="D2177" s="12"/>
      <c r="E2177" s="12"/>
      <c r="F2177" s="12"/>
      <c r="G2177" s="12"/>
    </row>
    <row r="2178" spans="2:7" x14ac:dyDescent="0.25">
      <c r="B2178" s="12"/>
      <c r="C2178" s="13"/>
      <c r="D2178" s="12"/>
      <c r="E2178" s="12"/>
      <c r="F2178" s="12"/>
      <c r="G2178" s="12"/>
    </row>
    <row r="2179" spans="2:7" x14ac:dyDescent="0.25">
      <c r="B2179" s="12"/>
      <c r="C2179" s="13"/>
      <c r="D2179" s="12"/>
      <c r="E2179" s="12"/>
      <c r="F2179" s="12"/>
      <c r="G2179" s="12"/>
    </row>
    <row r="2180" spans="2:7" x14ac:dyDescent="0.25">
      <c r="B2180" s="12"/>
      <c r="C2180" s="13"/>
      <c r="D2180" s="12"/>
      <c r="E2180" s="12"/>
      <c r="F2180" s="12"/>
      <c r="G2180" s="12"/>
    </row>
    <row r="2181" spans="2:7" x14ac:dyDescent="0.25">
      <c r="B2181" s="12"/>
      <c r="C2181" s="13"/>
      <c r="D2181" s="12"/>
      <c r="E2181" s="12"/>
      <c r="F2181" s="12"/>
      <c r="G2181" s="12"/>
    </row>
    <row r="2182" spans="2:7" x14ac:dyDescent="0.25">
      <c r="B2182" s="12"/>
      <c r="C2182" s="13"/>
      <c r="D2182" s="12"/>
      <c r="E2182" s="12"/>
      <c r="F2182" s="12"/>
      <c r="G2182" s="12"/>
    </row>
    <row r="2183" spans="2:7" x14ac:dyDescent="0.25">
      <c r="B2183" s="12"/>
      <c r="C2183" s="13"/>
      <c r="D2183" s="12"/>
      <c r="E2183" s="12"/>
      <c r="F2183" s="12"/>
      <c r="G2183" s="12"/>
    </row>
    <row r="2184" spans="2:7" x14ac:dyDescent="0.25">
      <c r="B2184" s="225" t="s">
        <v>0</v>
      </c>
      <c r="C2184" s="225"/>
      <c r="D2184" s="225"/>
      <c r="E2184" s="225"/>
      <c r="F2184" s="225"/>
      <c r="G2184" s="225"/>
    </row>
    <row r="2185" spans="2:7" x14ac:dyDescent="0.25">
      <c r="B2185" s="225" t="s">
        <v>1</v>
      </c>
      <c r="C2185" s="225"/>
      <c r="D2185" s="225"/>
      <c r="E2185" s="225"/>
      <c r="F2185" s="225"/>
      <c r="G2185" s="225"/>
    </row>
    <row r="2186" spans="2:7" x14ac:dyDescent="0.25">
      <c r="B2186" s="225" t="s">
        <v>37</v>
      </c>
      <c r="C2186" s="225"/>
      <c r="D2186" s="225"/>
      <c r="E2186" s="225"/>
      <c r="F2186" s="225"/>
      <c r="G2186" s="225"/>
    </row>
    <row r="2187" spans="2:7" x14ac:dyDescent="0.25">
      <c r="B2187" s="225" t="s">
        <v>52</v>
      </c>
      <c r="C2187" s="225"/>
      <c r="D2187" s="225"/>
      <c r="E2187" s="225"/>
      <c r="F2187" s="225"/>
      <c r="G2187" s="225"/>
    </row>
    <row r="2188" spans="2:7" x14ac:dyDescent="0.25">
      <c r="B2188" s="225" t="s">
        <v>124</v>
      </c>
      <c r="C2188" s="225"/>
      <c r="D2188" s="225"/>
      <c r="E2188" s="225"/>
      <c r="F2188" s="225"/>
      <c r="G2188" s="225"/>
    </row>
    <row r="2189" spans="2:7" ht="15.75" thickBot="1" x14ac:dyDescent="0.3">
      <c r="B2189" s="159"/>
      <c r="C2189" s="159"/>
      <c r="D2189" s="159"/>
      <c r="E2189" s="159"/>
      <c r="F2189" s="159"/>
      <c r="G2189" s="12"/>
    </row>
    <row r="2190" spans="2:7" ht="24.75" thickBot="1" x14ac:dyDescent="0.3">
      <c r="B2190" s="2" t="s">
        <v>4</v>
      </c>
      <c r="C2190" s="3" t="s">
        <v>5</v>
      </c>
      <c r="D2190" s="3" t="s">
        <v>6</v>
      </c>
      <c r="E2190" s="4" t="s">
        <v>7</v>
      </c>
      <c r="F2190" s="3" t="s">
        <v>65</v>
      </c>
      <c r="G2190" s="3" t="s">
        <v>8</v>
      </c>
    </row>
    <row r="2191" spans="2:7" x14ac:dyDescent="0.25">
      <c r="B2191" s="226" t="s">
        <v>25</v>
      </c>
      <c r="C2191" s="228">
        <v>566929.43000000005</v>
      </c>
      <c r="D2191" s="245">
        <v>407958.94</v>
      </c>
      <c r="E2191" s="229">
        <f>429272.79-D2191</f>
        <v>21313.849999999977</v>
      </c>
      <c r="F2191" s="229">
        <f>D2191+E2191</f>
        <v>429272.79</v>
      </c>
      <c r="G2191" s="228">
        <f>C2191-D2191-E2191</f>
        <v>137656.64000000007</v>
      </c>
    </row>
    <row r="2192" spans="2:7" ht="15.75" thickBot="1" x14ac:dyDescent="0.3">
      <c r="B2192" s="227"/>
      <c r="C2192" s="215"/>
      <c r="D2192" s="234"/>
      <c r="E2192" s="230"/>
      <c r="F2192" s="230"/>
      <c r="G2192" s="215"/>
    </row>
    <row r="2193" spans="2:13" x14ac:dyDescent="0.25">
      <c r="B2193" s="231" t="s">
        <v>26</v>
      </c>
      <c r="C2193" s="215">
        <v>39720</v>
      </c>
      <c r="D2193" s="216">
        <v>4724.47</v>
      </c>
      <c r="E2193" s="212">
        <f>24328.47-D2193</f>
        <v>19604</v>
      </c>
      <c r="F2193" s="212">
        <f>D2193+E2193</f>
        <v>24328.47</v>
      </c>
      <c r="G2193" s="228">
        <f>C2193-D2193-E2193</f>
        <v>15391.529999999999</v>
      </c>
    </row>
    <row r="2194" spans="2:13" ht="15.75" thickBot="1" x14ac:dyDescent="0.3">
      <c r="B2194" s="231"/>
      <c r="C2194" s="215"/>
      <c r="D2194" s="234"/>
      <c r="E2194" s="213"/>
      <c r="F2194" s="213"/>
      <c r="G2194" s="215"/>
    </row>
    <row r="2195" spans="2:13" x14ac:dyDescent="0.25">
      <c r="B2195" s="231" t="s">
        <v>27</v>
      </c>
      <c r="C2195" s="215">
        <v>0</v>
      </c>
      <c r="D2195" s="216">
        <v>0</v>
      </c>
      <c r="E2195" s="212">
        <f>0-D2195</f>
        <v>0</v>
      </c>
      <c r="F2195" s="212">
        <f t="shared" ref="F2195" si="133">D2195+E2195</f>
        <v>0</v>
      </c>
      <c r="G2195" s="228">
        <f>C2195-D2195-E2195</f>
        <v>0</v>
      </c>
    </row>
    <row r="2196" spans="2:13" ht="15.75" thickBot="1" x14ac:dyDescent="0.3">
      <c r="B2196" s="231"/>
      <c r="C2196" s="215"/>
      <c r="D2196" s="234"/>
      <c r="E2196" s="213"/>
      <c r="F2196" s="213"/>
      <c r="G2196" s="215"/>
    </row>
    <row r="2197" spans="2:13" ht="30.75" thickBot="1" x14ac:dyDescent="0.3">
      <c r="B2197" s="231" t="s">
        <v>28</v>
      </c>
      <c r="C2197" s="215">
        <v>0</v>
      </c>
      <c r="D2197" s="216">
        <v>0</v>
      </c>
      <c r="E2197" s="212">
        <f>C2197-D2197</f>
        <v>0</v>
      </c>
      <c r="F2197" s="212">
        <f t="shared" ref="F2197" si="134">D2197+E2197</f>
        <v>0</v>
      </c>
      <c r="G2197" s="228">
        <f>C2197-D2197-E2197</f>
        <v>0</v>
      </c>
      <c r="H2197" s="155" t="s">
        <v>67</v>
      </c>
      <c r="I2197" s="154" t="s">
        <v>60</v>
      </c>
      <c r="J2197" s="120" t="s">
        <v>61</v>
      </c>
      <c r="K2197" s="126" t="s">
        <v>66</v>
      </c>
      <c r="L2197" s="133" t="s">
        <v>62</v>
      </c>
      <c r="M2197" s="128" t="s">
        <v>63</v>
      </c>
    </row>
    <row r="2198" spans="2:13" ht="15.75" thickBot="1" x14ac:dyDescent="0.3">
      <c r="B2198" s="232"/>
      <c r="C2198" s="216"/>
      <c r="D2198" s="244"/>
      <c r="E2198" s="233"/>
      <c r="F2198" s="213"/>
      <c r="G2198" s="239"/>
      <c r="H2198" s="58">
        <v>100</v>
      </c>
      <c r="I2198" s="59">
        <f>I2199*100/H2199</f>
        <v>68.026670691835974</v>
      </c>
      <c r="J2198" s="59">
        <f>J2199*100/H2199</f>
        <v>6.7448921859202891</v>
      </c>
      <c r="K2198" s="59">
        <f>K2199*100/H2199</f>
        <v>74.771562877756253</v>
      </c>
      <c r="L2198" s="98">
        <f>L2199*100/H2199</f>
        <v>25.228437122243744</v>
      </c>
      <c r="M2198" s="97">
        <f>M2199*100/H2199</f>
        <v>31.973329308164033</v>
      </c>
    </row>
    <row r="2199" spans="2:13" ht="15.75" thickBot="1" x14ac:dyDescent="0.3">
      <c r="B2199" s="14" t="s">
        <v>13</v>
      </c>
      <c r="C2199" s="21">
        <f>SUM(C2191:C2198)</f>
        <v>606649.43000000005</v>
      </c>
      <c r="D2199" s="21">
        <f>SUM(D2191:D2198)</f>
        <v>412683.41</v>
      </c>
      <c r="E2199" s="22">
        <f>SUM(E2191:E2198)</f>
        <v>40917.849999999977</v>
      </c>
      <c r="F2199" s="22">
        <f>SUM(F2191:F2198)</f>
        <v>453601.26</v>
      </c>
      <c r="G2199" s="46">
        <f>C2199-D2199-E2199</f>
        <v>153048.1700000001</v>
      </c>
      <c r="H2199" s="80">
        <f>+C2199</f>
        <v>606649.43000000005</v>
      </c>
      <c r="I2199" s="82">
        <f>+D2199</f>
        <v>412683.41</v>
      </c>
      <c r="J2199" s="82">
        <f>+E2199</f>
        <v>40917.849999999977</v>
      </c>
      <c r="K2199" s="82">
        <f>I2199+J2199</f>
        <v>453601.25999999995</v>
      </c>
      <c r="L2199" s="95">
        <f>H2199-K2199</f>
        <v>153048.1700000001</v>
      </c>
      <c r="M2199" s="99">
        <f>H2199-I2199</f>
        <v>193966.02000000008</v>
      </c>
    </row>
    <row r="2200" spans="2:13" x14ac:dyDescent="0.25">
      <c r="B2200" s="224" t="s">
        <v>29</v>
      </c>
      <c r="C2200" s="234">
        <v>190620.32</v>
      </c>
      <c r="D2200" s="245">
        <v>117204.82</v>
      </c>
      <c r="E2200" s="223">
        <f>122782.06-D2200</f>
        <v>5577.2399999999907</v>
      </c>
      <c r="F2200" s="212">
        <f t="shared" ref="F2200" si="135">D2200+E2200</f>
        <v>122782.06</v>
      </c>
      <c r="G2200" s="218">
        <f>C2200-D2200-E2200</f>
        <v>67838.260000000009</v>
      </c>
    </row>
    <row r="2201" spans="2:13" ht="15.75" thickBot="1" x14ac:dyDescent="0.3">
      <c r="B2201" s="214"/>
      <c r="C2201" s="215"/>
      <c r="D2201" s="234"/>
      <c r="E2201" s="213"/>
      <c r="F2201" s="213"/>
      <c r="G2201" s="219"/>
    </row>
    <row r="2202" spans="2:13" x14ac:dyDescent="0.25">
      <c r="B2202" s="214" t="s">
        <v>30</v>
      </c>
      <c r="C2202" s="215">
        <v>70516.5</v>
      </c>
      <c r="D2202" s="216">
        <v>13079.48</v>
      </c>
      <c r="E2202" s="212">
        <f>35576.33-D2202</f>
        <v>22496.850000000002</v>
      </c>
      <c r="F2202" s="212">
        <f t="shared" ref="F2202" si="136">D2202+E2202</f>
        <v>35576.33</v>
      </c>
      <c r="G2202" s="218">
        <f>C2202-D2202-E2202</f>
        <v>34940.17</v>
      </c>
    </row>
    <row r="2203" spans="2:13" ht="15.75" thickBot="1" x14ac:dyDescent="0.3">
      <c r="B2203" s="214"/>
      <c r="C2203" s="215"/>
      <c r="D2203" s="234"/>
      <c r="E2203" s="213"/>
      <c r="F2203" s="213"/>
      <c r="G2203" s="219"/>
    </row>
    <row r="2204" spans="2:13" x14ac:dyDescent="0.25">
      <c r="B2204" s="214" t="s">
        <v>31</v>
      </c>
      <c r="C2204" s="215">
        <v>744172.44</v>
      </c>
      <c r="D2204" s="216">
        <v>39282.300000000003</v>
      </c>
      <c r="E2204" s="212">
        <f>303720.5-D2204</f>
        <v>264438.2</v>
      </c>
      <c r="F2204" s="212">
        <f t="shared" ref="F2204" si="137">D2204+E2204</f>
        <v>303720.5</v>
      </c>
      <c r="G2204" s="218">
        <f>C2204-D2204-E2204</f>
        <v>440451.93999999989</v>
      </c>
    </row>
    <row r="2205" spans="2:13" ht="15.75" thickBot="1" x14ac:dyDescent="0.3">
      <c r="B2205" s="214"/>
      <c r="C2205" s="215"/>
      <c r="D2205" s="234"/>
      <c r="E2205" s="213"/>
      <c r="F2205" s="213"/>
      <c r="G2205" s="219"/>
    </row>
    <row r="2206" spans="2:13" x14ac:dyDescent="0.25">
      <c r="B2206" s="214" t="s">
        <v>32</v>
      </c>
      <c r="C2206" s="215">
        <v>189970.34</v>
      </c>
      <c r="D2206" s="216">
        <v>11716.6</v>
      </c>
      <c r="E2206" s="212">
        <f>54169.82-D2206</f>
        <v>42453.22</v>
      </c>
      <c r="F2206" s="212">
        <f t="shared" ref="F2206" si="138">D2206+E2206</f>
        <v>54169.82</v>
      </c>
      <c r="G2206" s="218">
        <f>C2206-D2206-E2206</f>
        <v>135800.51999999999</v>
      </c>
    </row>
    <row r="2207" spans="2:13" ht="15.75" thickBot="1" x14ac:dyDescent="0.3">
      <c r="B2207" s="214"/>
      <c r="C2207" s="215"/>
      <c r="D2207" s="234"/>
      <c r="E2207" s="213"/>
      <c r="F2207" s="213"/>
      <c r="G2207" s="219"/>
    </row>
    <row r="2208" spans="2:13" x14ac:dyDescent="0.25">
      <c r="B2208" s="214" t="s">
        <v>33</v>
      </c>
      <c r="C2208" s="215">
        <v>0</v>
      </c>
      <c r="D2208" s="216">
        <v>0</v>
      </c>
      <c r="E2208" s="212">
        <f>0-D2208</f>
        <v>0</v>
      </c>
      <c r="F2208" s="212">
        <f t="shared" ref="F2208" si="139">D2208+E2208</f>
        <v>0</v>
      </c>
      <c r="G2208" s="218">
        <f>C2208-D2208-E2208</f>
        <v>0</v>
      </c>
    </row>
    <row r="2209" spans="2:13" ht="15.75" thickBot="1" x14ac:dyDescent="0.3">
      <c r="B2209" s="214"/>
      <c r="C2209" s="215"/>
      <c r="D2209" s="234"/>
      <c r="E2209" s="213"/>
      <c r="F2209" s="213"/>
      <c r="G2209" s="219"/>
    </row>
    <row r="2210" spans="2:13" x14ac:dyDescent="0.25">
      <c r="B2210" s="214" t="s">
        <v>34</v>
      </c>
      <c r="C2210" s="215">
        <v>0</v>
      </c>
      <c r="D2210" s="216">
        <v>0</v>
      </c>
      <c r="E2210" s="212">
        <f>-D2210</f>
        <v>0</v>
      </c>
      <c r="F2210" s="212">
        <f t="shared" ref="F2210" si="140">D2210+E2210</f>
        <v>0</v>
      </c>
      <c r="G2210" s="218">
        <f>C2210-D2210-E2210</f>
        <v>0</v>
      </c>
    </row>
    <row r="2211" spans="2:13" ht="15.75" thickBot="1" x14ac:dyDescent="0.3">
      <c r="B2211" s="214"/>
      <c r="C2211" s="215"/>
      <c r="D2211" s="234"/>
      <c r="E2211" s="213"/>
      <c r="F2211" s="213"/>
      <c r="G2211" s="219"/>
    </row>
    <row r="2212" spans="2:13" x14ac:dyDescent="0.25">
      <c r="B2212" s="214" t="s">
        <v>35</v>
      </c>
      <c r="C2212" s="215">
        <v>0</v>
      </c>
      <c r="D2212" s="216">
        <v>0</v>
      </c>
      <c r="E2212" s="212">
        <f>-D2212</f>
        <v>0</v>
      </c>
      <c r="F2212" s="212">
        <f t="shared" ref="F2212" si="141">D2212+E2212</f>
        <v>0</v>
      </c>
      <c r="G2212" s="218">
        <f>C2212-D2212-E2212</f>
        <v>0</v>
      </c>
    </row>
    <row r="2213" spans="2:13" ht="15.75" thickBot="1" x14ac:dyDescent="0.3">
      <c r="B2213" s="214"/>
      <c r="C2213" s="215"/>
      <c r="D2213" s="234"/>
      <c r="E2213" s="213"/>
      <c r="F2213" s="213"/>
      <c r="G2213" s="219"/>
    </row>
    <row r="2214" spans="2:13" ht="30.75" thickBot="1" x14ac:dyDescent="0.3">
      <c r="B2214" s="214" t="s">
        <v>36</v>
      </c>
      <c r="C2214" s="215">
        <v>0</v>
      </c>
      <c r="D2214" s="216">
        <v>0</v>
      </c>
      <c r="E2214" s="212">
        <f>-D2214</f>
        <v>0</v>
      </c>
      <c r="F2214" s="212">
        <f t="shared" ref="F2214" si="142">D2214+E2214</f>
        <v>0</v>
      </c>
      <c r="G2214" s="218">
        <f>C2214-D2214-E2214</f>
        <v>0</v>
      </c>
      <c r="H2214" s="155" t="s">
        <v>67</v>
      </c>
      <c r="I2214" s="154" t="s">
        <v>60</v>
      </c>
      <c r="J2214" s="120" t="s">
        <v>61</v>
      </c>
      <c r="K2214" s="126" t="s">
        <v>66</v>
      </c>
      <c r="L2214" s="133" t="s">
        <v>62</v>
      </c>
      <c r="M2214" s="147" t="s">
        <v>63</v>
      </c>
    </row>
    <row r="2215" spans="2:13" ht="15.75" thickBot="1" x14ac:dyDescent="0.3">
      <c r="B2215" s="220"/>
      <c r="C2215" s="221"/>
      <c r="D2215" s="244"/>
      <c r="E2215" s="213"/>
      <c r="F2215" s="213"/>
      <c r="G2215" s="219"/>
      <c r="H2215" s="62">
        <v>100</v>
      </c>
      <c r="I2215" s="63">
        <f>I2216*100/H2216</f>
        <v>15.166593657249734</v>
      </c>
      <c r="J2215" s="63">
        <f>J2216*100/H2216</f>
        <v>28.024029691462982</v>
      </c>
      <c r="K2215" s="64">
        <f>(D2216+E2216)*100/C2216</f>
        <v>43.19062334871272</v>
      </c>
      <c r="L2215" s="91">
        <f>G2216*100/C2216</f>
        <v>56.809376651287288</v>
      </c>
      <c r="M2215" s="112">
        <f>M2216*100/H2216</f>
        <v>84.833406342750266</v>
      </c>
    </row>
    <row r="2216" spans="2:13" ht="15.75" thickBot="1" x14ac:dyDescent="0.3">
      <c r="B2216" s="14" t="s">
        <v>22</v>
      </c>
      <c r="C2216" s="15">
        <f>SUM(C2200:C2215)</f>
        <v>1195279.6000000001</v>
      </c>
      <c r="D2216" s="15">
        <f>SUM(D2200:D2214)</f>
        <v>181283.20000000001</v>
      </c>
      <c r="E2216" s="16">
        <f>SUM(E2200:E2215)</f>
        <v>334965.51</v>
      </c>
      <c r="F2216" s="16">
        <f>SUM(F2200:F2215)</f>
        <v>516248.71</v>
      </c>
      <c r="G2216" s="46">
        <f>C2216-D2216-E2216</f>
        <v>679030.89000000013</v>
      </c>
      <c r="H2216" s="80">
        <f>K2216+L2216</f>
        <v>1195279.6000000001</v>
      </c>
      <c r="I2216" s="81">
        <f>+D2216</f>
        <v>181283.20000000001</v>
      </c>
      <c r="J2216" s="81">
        <f>+E2216</f>
        <v>334965.51</v>
      </c>
      <c r="K2216" s="82">
        <f>D2216+E2216</f>
        <v>516248.71</v>
      </c>
      <c r="L2216" s="95">
        <f>+G2216</f>
        <v>679030.89000000013</v>
      </c>
      <c r="M2216" s="97">
        <f>H2216-I2216</f>
        <v>1013996.4000000001</v>
      </c>
    </row>
    <row r="2217" spans="2:13" ht="15.75" thickBot="1" x14ac:dyDescent="0.3">
      <c r="B2217" s="17" t="s">
        <v>23</v>
      </c>
      <c r="C2217" s="18">
        <f>C2199+C2216</f>
        <v>1801929.0300000003</v>
      </c>
      <c r="D2217" s="19">
        <f>D2216+D2199</f>
        <v>593966.61</v>
      </c>
      <c r="E2217" s="20">
        <f>E2199+E2216</f>
        <v>375883.36</v>
      </c>
      <c r="F2217" s="20">
        <f>F2199+F2216</f>
        <v>969849.97</v>
      </c>
      <c r="G2217" s="28">
        <f>C2217-D2217-E2217</f>
        <v>832079.06000000041</v>
      </c>
      <c r="H2217" s="50">
        <f>+C2217</f>
        <v>1801929.0300000003</v>
      </c>
      <c r="I2217" s="51">
        <f>+D2217</f>
        <v>593966.61</v>
      </c>
      <c r="J2217" s="51">
        <f>+E2217</f>
        <v>375883.36</v>
      </c>
      <c r="K2217" s="51">
        <f>I2217+J2217</f>
        <v>969849.97</v>
      </c>
      <c r="L2217" s="100">
        <f>H2217-K2217</f>
        <v>832079.06000000029</v>
      </c>
      <c r="M2217" s="97">
        <f>H2217-I2217</f>
        <v>1207962.4200000004</v>
      </c>
    </row>
    <row r="2218" spans="2:13" ht="15.75" thickBot="1" x14ac:dyDescent="0.3">
      <c r="B2218" s="12"/>
      <c r="C2218" s="13"/>
      <c r="D2218" s="12"/>
      <c r="E2218" s="12"/>
      <c r="F2218" s="12"/>
      <c r="G2218" s="12"/>
      <c r="H2218" s="129">
        <v>100</v>
      </c>
      <c r="I2218" s="130">
        <f>I2217*100/H2217</f>
        <v>32.962819295940854</v>
      </c>
      <c r="J2218" s="130">
        <f>J2217*100/H2217</f>
        <v>20.860053517202058</v>
      </c>
      <c r="K2218" s="130">
        <f>K2217*100/H2217</f>
        <v>53.822872813142915</v>
      </c>
      <c r="L2218" s="131">
        <f>L2217*100/H2217</f>
        <v>46.177127186857085</v>
      </c>
      <c r="M2218" s="132">
        <f>M2217*100/H2217</f>
        <v>67.037180704059153</v>
      </c>
    </row>
    <row r="2219" spans="2:13" x14ac:dyDescent="0.25">
      <c r="B2219" s="12"/>
      <c r="C2219" s="13"/>
      <c r="D2219" s="12"/>
      <c r="E2219" s="12"/>
      <c r="F2219" s="12"/>
      <c r="G2219" s="12"/>
    </row>
    <row r="2220" spans="2:13" x14ac:dyDescent="0.25">
      <c r="B2220" s="12"/>
      <c r="C2220" s="13"/>
      <c r="D2220" s="12"/>
      <c r="E2220" s="12"/>
      <c r="F2220" s="12"/>
      <c r="G2220" s="12"/>
    </row>
    <row r="2221" spans="2:13" x14ac:dyDescent="0.25">
      <c r="B2221" s="12"/>
      <c r="C2221" s="13"/>
      <c r="D2221" s="12"/>
      <c r="E2221" s="12"/>
      <c r="F2221" s="12"/>
      <c r="G2221" s="12"/>
    </row>
    <row r="2222" spans="2:13" x14ac:dyDescent="0.25">
      <c r="B2222" s="12"/>
      <c r="C2222" s="13"/>
      <c r="D2222" s="12"/>
      <c r="E2222" s="12"/>
      <c r="F2222" s="12"/>
      <c r="G2222" s="12"/>
    </row>
    <row r="2223" spans="2:13" x14ac:dyDescent="0.25">
      <c r="B2223" s="12"/>
      <c r="C2223" s="13"/>
      <c r="D2223" s="12"/>
      <c r="E2223" s="12"/>
      <c r="F2223" s="12"/>
      <c r="G2223" s="12"/>
    </row>
    <row r="2224" spans="2:13" x14ac:dyDescent="0.25">
      <c r="B2224" s="12"/>
      <c r="C2224" s="13"/>
      <c r="D2224" s="12"/>
      <c r="E2224" s="12"/>
      <c r="F2224" s="12"/>
      <c r="G2224" s="12"/>
    </row>
    <row r="2225" spans="2:7" x14ac:dyDescent="0.25">
      <c r="B2225" s="12"/>
      <c r="C2225" s="13"/>
      <c r="D2225" s="12"/>
      <c r="E2225" s="12"/>
      <c r="F2225" s="12"/>
      <c r="G2225" s="12"/>
    </row>
    <row r="2226" spans="2:7" x14ac:dyDescent="0.25">
      <c r="B2226" s="12"/>
      <c r="C2226" s="13"/>
      <c r="D2226" s="12"/>
      <c r="E2226" s="12"/>
      <c r="F2226" s="12"/>
      <c r="G2226" s="12"/>
    </row>
    <row r="2227" spans="2:7" x14ac:dyDescent="0.25">
      <c r="B2227" s="12"/>
      <c r="C2227" s="13"/>
      <c r="D2227" s="12"/>
      <c r="E2227" s="12"/>
      <c r="F2227" s="12"/>
      <c r="G2227" s="12"/>
    </row>
    <row r="2228" spans="2:7" x14ac:dyDescent="0.25">
      <c r="B2228" s="12"/>
      <c r="C2228" s="13"/>
      <c r="D2228" s="12"/>
      <c r="E2228" s="12"/>
      <c r="F2228" s="12"/>
      <c r="G2228" s="12"/>
    </row>
    <row r="2229" spans="2:7" x14ac:dyDescent="0.25">
      <c r="B2229" s="12"/>
      <c r="C2229" s="13"/>
      <c r="D2229" s="12"/>
      <c r="E2229" s="12"/>
      <c r="F2229" s="12"/>
      <c r="G2229" s="12"/>
    </row>
    <row r="2230" spans="2:7" x14ac:dyDescent="0.25">
      <c r="B2230" s="12"/>
      <c r="C2230" s="13"/>
      <c r="D2230" s="12"/>
      <c r="E2230" s="12"/>
      <c r="F2230" s="12"/>
      <c r="G2230" s="12"/>
    </row>
    <row r="2231" spans="2:7" x14ac:dyDescent="0.25">
      <c r="B2231" s="12"/>
      <c r="C2231" s="13"/>
      <c r="D2231" s="12"/>
      <c r="E2231" s="12"/>
      <c r="F2231" s="12"/>
      <c r="G2231" s="12"/>
    </row>
    <row r="2232" spans="2:7" x14ac:dyDescent="0.25">
      <c r="B2232" s="12"/>
      <c r="C2232" s="13"/>
      <c r="D2232" s="12"/>
      <c r="E2232" s="12"/>
      <c r="F2232" s="12"/>
      <c r="G2232" s="12"/>
    </row>
    <row r="2233" spans="2:7" x14ac:dyDescent="0.25">
      <c r="B2233" s="12"/>
      <c r="C2233" s="13"/>
      <c r="D2233" s="12"/>
      <c r="E2233" s="12"/>
      <c r="F2233" s="12"/>
      <c r="G2233" s="12"/>
    </row>
    <row r="2234" spans="2:7" x14ac:dyDescent="0.25">
      <c r="B2234" s="12"/>
      <c r="C2234" s="13"/>
      <c r="D2234" s="12"/>
      <c r="E2234" s="12"/>
      <c r="F2234" s="12"/>
      <c r="G2234" s="12"/>
    </row>
    <row r="2235" spans="2:7" x14ac:dyDescent="0.25">
      <c r="B2235" s="12"/>
      <c r="C2235" s="13"/>
      <c r="D2235" s="12"/>
      <c r="E2235" s="12"/>
      <c r="F2235" s="12"/>
      <c r="G2235" s="12"/>
    </row>
    <row r="2236" spans="2:7" x14ac:dyDescent="0.25">
      <c r="B2236" s="225" t="s">
        <v>0</v>
      </c>
      <c r="C2236" s="225"/>
      <c r="D2236" s="225"/>
      <c r="E2236" s="225"/>
      <c r="F2236" s="225"/>
      <c r="G2236" s="225"/>
    </row>
    <row r="2237" spans="2:7" x14ac:dyDescent="0.25">
      <c r="B2237" s="225" t="s">
        <v>1</v>
      </c>
      <c r="C2237" s="225"/>
      <c r="D2237" s="225"/>
      <c r="E2237" s="225"/>
      <c r="F2237" s="225"/>
      <c r="G2237" s="225"/>
    </row>
    <row r="2238" spans="2:7" x14ac:dyDescent="0.25">
      <c r="B2238" s="225" t="s">
        <v>37</v>
      </c>
      <c r="C2238" s="225"/>
      <c r="D2238" s="225"/>
      <c r="E2238" s="225"/>
      <c r="F2238" s="225"/>
      <c r="G2238" s="225"/>
    </row>
    <row r="2239" spans="2:7" x14ac:dyDescent="0.25">
      <c r="B2239" s="225" t="s">
        <v>52</v>
      </c>
      <c r="C2239" s="225"/>
      <c r="D2239" s="225"/>
      <c r="E2239" s="225"/>
      <c r="F2239" s="225"/>
      <c r="G2239" s="225"/>
    </row>
    <row r="2240" spans="2:7" x14ac:dyDescent="0.25">
      <c r="B2240" s="225" t="s">
        <v>124</v>
      </c>
      <c r="C2240" s="225"/>
      <c r="D2240" s="225"/>
      <c r="E2240" s="225"/>
      <c r="F2240" s="225"/>
      <c r="G2240" s="225"/>
    </row>
    <row r="2241" spans="2:12" ht="15.75" thickBot="1" x14ac:dyDescent="0.3">
      <c r="B2241" s="12"/>
      <c r="C2241" s="13"/>
      <c r="D2241" s="12"/>
      <c r="E2241" s="12"/>
      <c r="F2241" s="12"/>
      <c r="G2241" s="12"/>
    </row>
    <row r="2242" spans="2:12" ht="36.75" thickBot="1" x14ac:dyDescent="0.3">
      <c r="B2242" s="185"/>
      <c r="C2242" s="184" t="s">
        <v>5</v>
      </c>
      <c r="D2242" s="161" t="s">
        <v>72</v>
      </c>
      <c r="E2242" s="172" t="s">
        <v>6</v>
      </c>
      <c r="F2242" s="161" t="s">
        <v>60</v>
      </c>
      <c r="G2242" s="172" t="s">
        <v>7</v>
      </c>
      <c r="H2242" s="180" t="s">
        <v>98</v>
      </c>
      <c r="I2242" s="172" t="s">
        <v>65</v>
      </c>
      <c r="J2242" s="180" t="s">
        <v>99</v>
      </c>
      <c r="K2242" s="177" t="s">
        <v>8</v>
      </c>
      <c r="L2242" s="181" t="s">
        <v>100</v>
      </c>
    </row>
    <row r="2243" spans="2:12" ht="30.75" thickBot="1" x14ac:dyDescent="0.3">
      <c r="B2243" s="186" t="s">
        <v>108</v>
      </c>
      <c r="C2243" s="182">
        <v>1801929.03</v>
      </c>
      <c r="D2243" s="174">
        <v>1</v>
      </c>
      <c r="E2243" s="170">
        <v>593966.61</v>
      </c>
      <c r="F2243" s="175">
        <f>E2243/C2243</f>
        <v>0.32962819295940859</v>
      </c>
      <c r="G2243" s="170">
        <v>375883.36</v>
      </c>
      <c r="H2243" s="175">
        <f>G2243/C2243</f>
        <v>0.2086005351720206</v>
      </c>
      <c r="I2243" s="170">
        <f>E2243+G2243</f>
        <v>969849.97</v>
      </c>
      <c r="J2243" s="175">
        <f>I2243/C2243</f>
        <v>0.53822872813142919</v>
      </c>
      <c r="K2243" s="189">
        <f>C2243-I2243</f>
        <v>832079.06</v>
      </c>
      <c r="L2243" s="190">
        <f>K2243/C2243</f>
        <v>0.46177127186857081</v>
      </c>
    </row>
    <row r="2244" spans="2:12" x14ac:dyDescent="0.25">
      <c r="B2244" s="12"/>
      <c r="C2244" s="13"/>
      <c r="D2244" s="12"/>
      <c r="E2244" s="12"/>
      <c r="F2244" s="12"/>
      <c r="G2244" s="12"/>
    </row>
    <row r="2245" spans="2:12" x14ac:dyDescent="0.25">
      <c r="B2245" s="12"/>
      <c r="C2245" s="13"/>
      <c r="D2245" s="12"/>
      <c r="E2245" s="12"/>
      <c r="F2245" s="12"/>
      <c r="G2245" s="12"/>
    </row>
    <row r="2246" spans="2:12" x14ac:dyDescent="0.25">
      <c r="B2246" s="12"/>
      <c r="C2246" s="13"/>
      <c r="D2246" s="12"/>
      <c r="E2246" s="12"/>
      <c r="F2246" s="12"/>
      <c r="G2246" s="12"/>
    </row>
    <row r="2247" spans="2:12" x14ac:dyDescent="0.25">
      <c r="B2247" s="12"/>
      <c r="C2247" s="13"/>
      <c r="D2247" s="12"/>
      <c r="E2247" s="12"/>
      <c r="F2247" s="12"/>
      <c r="G2247" s="12"/>
    </row>
    <row r="2248" spans="2:12" x14ac:dyDescent="0.25">
      <c r="B2248" s="12"/>
      <c r="C2248" s="13"/>
      <c r="D2248" s="12"/>
      <c r="E2248" s="12"/>
      <c r="F2248" s="12"/>
      <c r="G2248" s="12"/>
    </row>
    <row r="2249" spans="2:12" x14ac:dyDescent="0.25">
      <c r="B2249" s="12"/>
      <c r="C2249" s="13"/>
      <c r="D2249" s="12"/>
      <c r="E2249" s="12"/>
      <c r="F2249" s="12"/>
      <c r="G2249" s="12"/>
    </row>
    <row r="2250" spans="2:12" x14ac:dyDescent="0.25">
      <c r="B2250" s="12"/>
      <c r="C2250" s="13"/>
      <c r="D2250" s="12"/>
      <c r="E2250" s="12"/>
      <c r="F2250" s="12"/>
      <c r="G2250" s="12"/>
    </row>
    <row r="2251" spans="2:12" x14ac:dyDescent="0.25">
      <c r="B2251" s="12"/>
      <c r="C2251" s="13"/>
      <c r="D2251" s="12"/>
      <c r="E2251" s="12"/>
      <c r="F2251" s="12"/>
      <c r="G2251" s="12"/>
    </row>
    <row r="2252" spans="2:12" x14ac:dyDescent="0.25">
      <c r="B2252" s="12"/>
      <c r="C2252" s="13"/>
      <c r="D2252" s="12"/>
      <c r="E2252" s="12"/>
      <c r="F2252" s="12"/>
      <c r="G2252" s="12"/>
    </row>
    <row r="2253" spans="2:12" x14ac:dyDescent="0.25">
      <c r="B2253" s="12"/>
      <c r="C2253" s="13"/>
      <c r="D2253" s="12"/>
      <c r="E2253" s="12"/>
      <c r="F2253" s="12"/>
      <c r="G2253" s="12"/>
    </row>
    <row r="2254" spans="2:12" x14ac:dyDescent="0.25">
      <c r="B2254" s="12"/>
      <c r="C2254" s="13"/>
      <c r="D2254" s="12"/>
      <c r="E2254" s="12"/>
      <c r="F2254" s="12"/>
      <c r="G2254" s="12"/>
    </row>
    <row r="2255" spans="2:12" x14ac:dyDescent="0.25">
      <c r="B2255" s="12"/>
      <c r="C2255" s="13"/>
      <c r="D2255" s="12"/>
      <c r="E2255" s="12"/>
      <c r="F2255" s="12"/>
      <c r="G2255" s="12"/>
    </row>
    <row r="2256" spans="2:12" x14ac:dyDescent="0.25">
      <c r="B2256" s="12"/>
      <c r="C2256" s="13"/>
      <c r="D2256" s="12"/>
      <c r="E2256" s="12"/>
      <c r="F2256" s="12"/>
      <c r="G2256" s="12"/>
    </row>
    <row r="2257" spans="2:7" x14ac:dyDescent="0.25">
      <c r="B2257" s="12"/>
      <c r="C2257" s="13"/>
      <c r="D2257" s="12"/>
      <c r="E2257" s="12"/>
      <c r="F2257" s="12"/>
      <c r="G2257" s="12"/>
    </row>
    <row r="2258" spans="2:7" x14ac:dyDescent="0.25">
      <c r="B2258" s="12"/>
      <c r="C2258" s="13"/>
      <c r="D2258" s="12"/>
      <c r="E2258" s="12"/>
      <c r="F2258" s="12"/>
      <c r="G2258" s="12"/>
    </row>
    <row r="2259" spans="2:7" x14ac:dyDescent="0.25">
      <c r="B2259" s="12"/>
      <c r="C2259" s="13"/>
      <c r="D2259" s="12"/>
      <c r="E2259" s="12"/>
      <c r="F2259" s="12"/>
      <c r="G2259" s="12"/>
    </row>
    <row r="2260" spans="2:7" x14ac:dyDescent="0.25">
      <c r="B2260" s="12"/>
      <c r="C2260" s="13"/>
      <c r="D2260" s="12"/>
      <c r="E2260" s="12"/>
      <c r="F2260" s="12"/>
      <c r="G2260" s="12"/>
    </row>
    <row r="2261" spans="2:7" x14ac:dyDescent="0.25">
      <c r="B2261" s="12"/>
      <c r="C2261" s="13"/>
      <c r="D2261" s="12"/>
      <c r="E2261" s="12"/>
      <c r="F2261" s="12"/>
      <c r="G2261" s="12"/>
    </row>
    <row r="2262" spans="2:7" x14ac:dyDescent="0.25">
      <c r="B2262" s="12"/>
      <c r="C2262" s="13"/>
      <c r="D2262" s="12"/>
      <c r="E2262" s="12"/>
      <c r="F2262" s="12"/>
      <c r="G2262" s="12"/>
    </row>
    <row r="2263" spans="2:7" x14ac:dyDescent="0.25">
      <c r="B2263" s="12"/>
      <c r="C2263" s="13"/>
      <c r="D2263" s="12"/>
      <c r="E2263" s="12"/>
      <c r="F2263" s="12"/>
      <c r="G2263" s="12"/>
    </row>
    <row r="2264" spans="2:7" x14ac:dyDescent="0.25">
      <c r="B2264" s="12"/>
      <c r="C2264" s="13"/>
      <c r="D2264" s="12"/>
      <c r="E2264" s="12"/>
      <c r="F2264" s="12"/>
      <c r="G2264" s="12"/>
    </row>
    <row r="2265" spans="2:7" x14ac:dyDescent="0.25">
      <c r="B2265" s="12"/>
      <c r="C2265" s="13"/>
      <c r="D2265" s="12"/>
      <c r="E2265" s="12"/>
      <c r="F2265" s="12"/>
      <c r="G2265" s="12"/>
    </row>
    <row r="2266" spans="2:7" x14ac:dyDescent="0.25">
      <c r="B2266" s="12"/>
      <c r="C2266" s="13"/>
      <c r="D2266" s="12"/>
      <c r="E2266" s="12"/>
      <c r="F2266" s="12"/>
      <c r="G2266" s="12"/>
    </row>
    <row r="2267" spans="2:7" x14ac:dyDescent="0.25">
      <c r="B2267" s="12"/>
      <c r="C2267" s="13"/>
      <c r="D2267" s="12"/>
      <c r="E2267" s="12"/>
      <c r="F2267" s="12"/>
      <c r="G2267" s="12"/>
    </row>
    <row r="2268" spans="2:7" x14ac:dyDescent="0.25">
      <c r="B2268" s="12"/>
      <c r="C2268" s="13"/>
      <c r="D2268" s="12"/>
      <c r="E2268" s="12"/>
      <c r="F2268" s="12"/>
      <c r="G2268" s="12"/>
    </row>
    <row r="2269" spans="2:7" x14ac:dyDescent="0.25">
      <c r="B2269" s="12"/>
      <c r="C2269" s="13"/>
      <c r="D2269" s="12"/>
      <c r="E2269" s="12"/>
      <c r="F2269" s="12"/>
      <c r="G2269" s="12"/>
    </row>
    <row r="2270" spans="2:7" x14ac:dyDescent="0.25">
      <c r="B2270" s="12"/>
      <c r="C2270" s="13"/>
      <c r="D2270" s="12"/>
      <c r="E2270" s="12"/>
      <c r="F2270" s="12"/>
      <c r="G2270" s="12"/>
    </row>
    <row r="2271" spans="2:7" x14ac:dyDescent="0.25">
      <c r="B2271" s="12"/>
      <c r="C2271" s="13"/>
      <c r="D2271" s="12"/>
      <c r="E2271" s="12"/>
      <c r="F2271" s="12"/>
      <c r="G2271" s="12"/>
    </row>
    <row r="2272" spans="2:7" x14ac:dyDescent="0.25">
      <c r="B2272" s="12"/>
      <c r="C2272" s="13"/>
      <c r="D2272" s="12"/>
      <c r="E2272" s="12"/>
      <c r="F2272" s="12"/>
      <c r="G2272" s="12"/>
    </row>
    <row r="2273" spans="2:7" x14ac:dyDescent="0.25">
      <c r="B2273" s="12"/>
      <c r="C2273" s="13"/>
      <c r="D2273" s="12"/>
      <c r="E2273" s="12"/>
      <c r="F2273" s="12"/>
      <c r="G2273" s="12"/>
    </row>
    <row r="2274" spans="2:7" x14ac:dyDescent="0.25">
      <c r="B2274" s="12"/>
      <c r="C2274" s="13"/>
      <c r="D2274" s="12"/>
      <c r="E2274" s="12"/>
      <c r="F2274" s="12"/>
      <c r="G2274" s="12"/>
    </row>
    <row r="2275" spans="2:7" x14ac:dyDescent="0.25">
      <c r="B2275" s="12"/>
      <c r="C2275" s="13"/>
      <c r="D2275" s="12"/>
      <c r="E2275" s="12"/>
      <c r="F2275" s="12"/>
      <c r="G2275" s="12"/>
    </row>
    <row r="2276" spans="2:7" x14ac:dyDescent="0.25">
      <c r="B2276" s="12"/>
      <c r="C2276" s="13"/>
      <c r="D2276" s="12"/>
      <c r="E2276" s="12"/>
      <c r="F2276" s="12"/>
      <c r="G2276" s="12"/>
    </row>
    <row r="2277" spans="2:7" x14ac:dyDescent="0.25">
      <c r="B2277" s="12"/>
      <c r="C2277" s="13"/>
      <c r="D2277" s="12"/>
      <c r="E2277" s="12"/>
      <c r="F2277" s="12"/>
      <c r="G2277" s="12"/>
    </row>
    <row r="2278" spans="2:7" x14ac:dyDescent="0.25">
      <c r="B2278" s="12"/>
      <c r="C2278" s="13"/>
      <c r="D2278" s="12"/>
      <c r="E2278" s="12"/>
      <c r="F2278" s="12"/>
      <c r="G2278" s="12"/>
    </row>
    <row r="2279" spans="2:7" x14ac:dyDescent="0.25">
      <c r="B2279" s="12"/>
      <c r="C2279" s="13"/>
      <c r="D2279" s="12"/>
      <c r="E2279" s="12"/>
      <c r="F2279" s="12"/>
      <c r="G2279" s="12"/>
    </row>
    <row r="2280" spans="2:7" x14ac:dyDescent="0.25">
      <c r="B2280" s="12"/>
      <c r="C2280" s="13"/>
      <c r="D2280" s="12"/>
      <c r="E2280" s="12"/>
      <c r="F2280" s="12"/>
      <c r="G2280" s="12"/>
    </row>
    <row r="2281" spans="2:7" x14ac:dyDescent="0.25">
      <c r="B2281" s="12"/>
      <c r="C2281" s="13"/>
      <c r="D2281" s="12"/>
      <c r="E2281" s="12"/>
      <c r="F2281" s="12"/>
      <c r="G2281" s="12"/>
    </row>
    <row r="2282" spans="2:7" x14ac:dyDescent="0.25">
      <c r="B2282" s="12"/>
      <c r="C2282" s="13"/>
      <c r="D2282" s="12"/>
      <c r="E2282" s="12"/>
      <c r="F2282" s="12"/>
      <c r="G2282" s="12"/>
    </row>
    <row r="2283" spans="2:7" x14ac:dyDescent="0.25">
      <c r="B2283" s="12"/>
      <c r="C2283" s="13"/>
      <c r="D2283" s="12"/>
      <c r="E2283" s="12"/>
      <c r="F2283" s="12"/>
      <c r="G2283" s="12"/>
    </row>
    <row r="2284" spans="2:7" x14ac:dyDescent="0.25">
      <c r="B2284" s="12"/>
      <c r="C2284" s="13"/>
      <c r="D2284" s="12"/>
      <c r="E2284" s="12"/>
      <c r="F2284" s="12"/>
      <c r="G2284" s="12"/>
    </row>
    <row r="2285" spans="2:7" x14ac:dyDescent="0.25">
      <c r="B2285" s="12"/>
      <c r="C2285" s="13"/>
      <c r="D2285" s="12"/>
      <c r="E2285" s="12"/>
      <c r="F2285" s="12"/>
      <c r="G2285" s="12"/>
    </row>
    <row r="2286" spans="2:7" x14ac:dyDescent="0.25">
      <c r="B2286" s="12"/>
      <c r="C2286" s="13"/>
      <c r="D2286" s="12"/>
      <c r="E2286" s="12"/>
      <c r="F2286" s="12"/>
      <c r="G2286" s="12"/>
    </row>
    <row r="2287" spans="2:7" x14ac:dyDescent="0.25">
      <c r="B2287" s="12"/>
      <c r="C2287" s="13"/>
      <c r="D2287" s="12"/>
      <c r="E2287" s="12"/>
      <c r="F2287" s="12"/>
      <c r="G2287" s="12"/>
    </row>
    <row r="2288" spans="2:7" x14ac:dyDescent="0.25">
      <c r="B2288" s="12"/>
      <c r="C2288" s="13"/>
      <c r="D2288" s="12"/>
      <c r="E2288" s="12"/>
      <c r="F2288" s="12"/>
      <c r="G2288" s="12"/>
    </row>
    <row r="2289" spans="2:13" x14ac:dyDescent="0.25">
      <c r="B2289" s="225" t="s">
        <v>0</v>
      </c>
      <c r="C2289" s="225"/>
      <c r="D2289" s="225"/>
      <c r="E2289" s="225"/>
      <c r="F2289" s="225"/>
      <c r="G2289" s="225"/>
    </row>
    <row r="2290" spans="2:13" x14ac:dyDescent="0.25">
      <c r="B2290" s="225" t="s">
        <v>1</v>
      </c>
      <c r="C2290" s="225"/>
      <c r="D2290" s="225"/>
      <c r="E2290" s="225"/>
      <c r="F2290" s="225"/>
      <c r="G2290" s="225"/>
    </row>
    <row r="2291" spans="2:13" x14ac:dyDescent="0.25">
      <c r="B2291" s="225" t="s">
        <v>37</v>
      </c>
      <c r="C2291" s="225"/>
      <c r="D2291" s="225"/>
      <c r="E2291" s="225"/>
      <c r="F2291" s="225"/>
      <c r="G2291" s="225"/>
    </row>
    <row r="2292" spans="2:13" x14ac:dyDescent="0.25">
      <c r="B2292" s="225" t="s">
        <v>53</v>
      </c>
      <c r="C2292" s="225"/>
      <c r="D2292" s="225"/>
      <c r="E2292" s="225"/>
      <c r="F2292" s="225"/>
      <c r="G2292" s="225"/>
    </row>
    <row r="2293" spans="2:13" x14ac:dyDescent="0.25">
      <c r="B2293" s="225" t="s">
        <v>124</v>
      </c>
      <c r="C2293" s="225"/>
      <c r="D2293" s="225"/>
      <c r="E2293" s="225"/>
      <c r="F2293" s="225"/>
      <c r="G2293" s="225"/>
    </row>
    <row r="2294" spans="2:13" ht="15.75" thickBot="1" x14ac:dyDescent="0.3">
      <c r="B2294" s="159"/>
      <c r="C2294" s="159"/>
      <c r="D2294" s="159"/>
      <c r="E2294" s="159"/>
      <c r="F2294" s="159"/>
      <c r="G2294" s="12"/>
    </row>
    <row r="2295" spans="2:13" ht="24.75" thickBot="1" x14ac:dyDescent="0.3">
      <c r="B2295" s="2" t="s">
        <v>4</v>
      </c>
      <c r="C2295" s="3" t="s">
        <v>5</v>
      </c>
      <c r="D2295" s="3" t="s">
        <v>6</v>
      </c>
      <c r="E2295" s="4" t="s">
        <v>7</v>
      </c>
      <c r="F2295" s="3" t="s">
        <v>65</v>
      </c>
      <c r="G2295" s="3" t="s">
        <v>8</v>
      </c>
    </row>
    <row r="2296" spans="2:13" x14ac:dyDescent="0.25">
      <c r="B2296" s="246" t="s">
        <v>25</v>
      </c>
      <c r="C2296" s="245">
        <v>302595.90999999997</v>
      </c>
      <c r="D2296" s="245">
        <v>184842.58</v>
      </c>
      <c r="E2296" s="245">
        <f>188435.25-D2296</f>
        <v>3592.6700000000128</v>
      </c>
      <c r="F2296" s="245">
        <f>D2296+E2296</f>
        <v>188435.25</v>
      </c>
      <c r="G2296" s="245">
        <f>C2296-D2296-E2296</f>
        <v>114160.65999999997</v>
      </c>
    </row>
    <row r="2297" spans="2:13" ht="15.75" thickBot="1" x14ac:dyDescent="0.3">
      <c r="B2297" s="247"/>
      <c r="C2297" s="234"/>
      <c r="D2297" s="234"/>
      <c r="E2297" s="234"/>
      <c r="F2297" s="234"/>
      <c r="G2297" s="244"/>
    </row>
    <row r="2298" spans="2:13" x14ac:dyDescent="0.25">
      <c r="B2298" s="241" t="s">
        <v>26</v>
      </c>
      <c r="C2298" s="216">
        <v>33777.42</v>
      </c>
      <c r="D2298" s="216">
        <v>13917.11</v>
      </c>
      <c r="E2298" s="216">
        <f>16308.71-D2298</f>
        <v>2391.5999999999985</v>
      </c>
      <c r="F2298" s="216">
        <f>D2298+E2298</f>
        <v>16308.71</v>
      </c>
      <c r="G2298" s="245">
        <f>C2298-D2298-E2298</f>
        <v>17468.71</v>
      </c>
    </row>
    <row r="2299" spans="2:13" ht="15.75" thickBot="1" x14ac:dyDescent="0.3">
      <c r="B2299" s="242"/>
      <c r="C2299" s="234"/>
      <c r="D2299" s="234"/>
      <c r="E2299" s="234"/>
      <c r="F2299" s="234"/>
      <c r="G2299" s="244"/>
    </row>
    <row r="2300" spans="2:13" x14ac:dyDescent="0.25">
      <c r="B2300" s="231" t="s">
        <v>27</v>
      </c>
      <c r="C2300" s="215">
        <v>0</v>
      </c>
      <c r="D2300" s="216">
        <v>0</v>
      </c>
      <c r="E2300" s="212">
        <f>0-D2300</f>
        <v>0</v>
      </c>
      <c r="F2300" s="216">
        <f t="shared" ref="F2300" si="143">D2300+E2300</f>
        <v>0</v>
      </c>
      <c r="G2300" s="228">
        <f>C2300-D2300-E2300</f>
        <v>0</v>
      </c>
    </row>
    <row r="2301" spans="2:13" ht="15.75" thickBot="1" x14ac:dyDescent="0.3">
      <c r="B2301" s="231"/>
      <c r="C2301" s="215"/>
      <c r="D2301" s="234"/>
      <c r="E2301" s="213"/>
      <c r="F2301" s="234"/>
      <c r="G2301" s="215"/>
    </row>
    <row r="2302" spans="2:13" ht="30.75" thickBot="1" x14ac:dyDescent="0.3">
      <c r="B2302" s="231" t="s">
        <v>28</v>
      </c>
      <c r="C2302" s="215">
        <v>0</v>
      </c>
      <c r="D2302" s="216">
        <v>0</v>
      </c>
      <c r="E2302" s="212">
        <f>C2302-D2302</f>
        <v>0</v>
      </c>
      <c r="F2302" s="216">
        <f t="shared" ref="F2302" si="144">D2302+E2302</f>
        <v>0</v>
      </c>
      <c r="G2302" s="228">
        <f>C2302-D2302-E2302</f>
        <v>0</v>
      </c>
      <c r="H2302" s="155" t="s">
        <v>67</v>
      </c>
      <c r="I2302" s="154" t="s">
        <v>60</v>
      </c>
      <c r="J2302" s="120" t="s">
        <v>61</v>
      </c>
      <c r="K2302" s="126" t="s">
        <v>66</v>
      </c>
      <c r="L2302" s="133" t="s">
        <v>62</v>
      </c>
      <c r="M2302" s="128" t="s">
        <v>63</v>
      </c>
    </row>
    <row r="2303" spans="2:13" ht="15.75" thickBot="1" x14ac:dyDescent="0.3">
      <c r="B2303" s="232"/>
      <c r="C2303" s="216"/>
      <c r="D2303" s="244"/>
      <c r="E2303" s="233"/>
      <c r="F2303" s="234"/>
      <c r="G2303" s="239"/>
      <c r="H2303" s="58">
        <v>100</v>
      </c>
      <c r="I2303" s="59">
        <f>I2304*100/H2304</f>
        <v>59.089015767094267</v>
      </c>
      <c r="J2303" s="59">
        <f>J2304*100/H2304</f>
        <v>1.7790560268259117</v>
      </c>
      <c r="K2303" s="59">
        <f>K2304*100/H2304</f>
        <v>60.868071793920187</v>
      </c>
      <c r="L2303" s="98">
        <f>L2304*100/H2304</f>
        <v>39.13192820607982</v>
      </c>
      <c r="M2303" s="97">
        <f>M2304*100/H2304</f>
        <v>40.910984232905733</v>
      </c>
    </row>
    <row r="2304" spans="2:13" ht="15.75" thickBot="1" x14ac:dyDescent="0.3">
      <c r="B2304" s="14" t="s">
        <v>13</v>
      </c>
      <c r="C2304" s="21">
        <f>SUM(C2296:C2303)</f>
        <v>336373.32999999996</v>
      </c>
      <c r="D2304" s="21">
        <f>SUM(D2296:D2303)</f>
        <v>198759.69</v>
      </c>
      <c r="E2304" s="22">
        <f>SUM(E2296:E2303)</f>
        <v>5984.2700000000114</v>
      </c>
      <c r="F2304" s="22">
        <f>SUM(F2296:F2303)</f>
        <v>204743.96</v>
      </c>
      <c r="G2304" s="46">
        <f>C2304-D2304-E2304</f>
        <v>131629.36999999994</v>
      </c>
      <c r="H2304" s="80">
        <f>+C2304</f>
        <v>336373.32999999996</v>
      </c>
      <c r="I2304" s="82">
        <f>+D2304</f>
        <v>198759.69</v>
      </c>
      <c r="J2304" s="82">
        <f>+E2304</f>
        <v>5984.2700000000114</v>
      </c>
      <c r="K2304" s="82">
        <f>I2304+J2304</f>
        <v>204743.96000000002</v>
      </c>
      <c r="L2304" s="95">
        <f>H2304-K2304</f>
        <v>131629.36999999994</v>
      </c>
      <c r="M2304" s="99">
        <f>H2304-I2304</f>
        <v>137613.63999999996</v>
      </c>
    </row>
    <row r="2305" spans="2:13" x14ac:dyDescent="0.25">
      <c r="B2305" s="224" t="s">
        <v>29</v>
      </c>
      <c r="C2305" s="234">
        <v>77560.160000000003</v>
      </c>
      <c r="D2305" s="245">
        <v>55225.01</v>
      </c>
      <c r="E2305" s="223">
        <f>56581.88-D2305</f>
        <v>1356.8699999999953</v>
      </c>
      <c r="F2305" s="216">
        <f t="shared" ref="F2305" si="145">D2305+E2305</f>
        <v>56581.88</v>
      </c>
      <c r="G2305" s="218">
        <f>C2305-D2305-E2305</f>
        <v>20978.280000000006</v>
      </c>
    </row>
    <row r="2306" spans="2:13" ht="15.75" thickBot="1" x14ac:dyDescent="0.3">
      <c r="B2306" s="214"/>
      <c r="C2306" s="215"/>
      <c r="D2306" s="234"/>
      <c r="E2306" s="213"/>
      <c r="F2306" s="234"/>
      <c r="G2306" s="219"/>
    </row>
    <row r="2307" spans="2:13" x14ac:dyDescent="0.25">
      <c r="B2307" s="214" t="s">
        <v>30</v>
      </c>
      <c r="C2307" s="215">
        <v>141839.54</v>
      </c>
      <c r="D2307" s="216">
        <v>4454.82</v>
      </c>
      <c r="E2307" s="212">
        <f>56154.91-D2307</f>
        <v>51700.090000000004</v>
      </c>
      <c r="F2307" s="216">
        <f t="shared" ref="F2307" si="146">D2307+E2307</f>
        <v>56154.91</v>
      </c>
      <c r="G2307" s="218">
        <f>C2307-D2307-E2307</f>
        <v>85684.63</v>
      </c>
    </row>
    <row r="2308" spans="2:13" ht="15.75" thickBot="1" x14ac:dyDescent="0.3">
      <c r="B2308" s="214"/>
      <c r="C2308" s="215"/>
      <c r="D2308" s="234"/>
      <c r="E2308" s="213"/>
      <c r="F2308" s="234"/>
      <c r="G2308" s="219"/>
    </row>
    <row r="2309" spans="2:13" x14ac:dyDescent="0.25">
      <c r="B2309" s="214" t="s">
        <v>31</v>
      </c>
      <c r="C2309" s="215">
        <v>0</v>
      </c>
      <c r="D2309" s="216">
        <v>0</v>
      </c>
      <c r="E2309" s="212">
        <f>0-D2309</f>
        <v>0</v>
      </c>
      <c r="F2309" s="216">
        <f t="shared" ref="F2309" si="147">D2309+E2309</f>
        <v>0</v>
      </c>
      <c r="G2309" s="218">
        <f>C2309-D2309-E2309</f>
        <v>0</v>
      </c>
    </row>
    <row r="2310" spans="2:13" ht="15.75" thickBot="1" x14ac:dyDescent="0.3">
      <c r="B2310" s="214"/>
      <c r="C2310" s="215"/>
      <c r="D2310" s="234"/>
      <c r="E2310" s="213"/>
      <c r="F2310" s="234"/>
      <c r="G2310" s="219"/>
    </row>
    <row r="2311" spans="2:13" x14ac:dyDescent="0.25">
      <c r="B2311" s="214" t="s">
        <v>32</v>
      </c>
      <c r="C2311" s="215">
        <v>95210.3</v>
      </c>
      <c r="D2311" s="216">
        <v>55357.95</v>
      </c>
      <c r="E2311" s="212">
        <f>80377.76-D2311</f>
        <v>25019.809999999998</v>
      </c>
      <c r="F2311" s="216">
        <f t="shared" ref="F2311" si="148">D2311+E2311</f>
        <v>80377.759999999995</v>
      </c>
      <c r="G2311" s="218">
        <f>C2311-D2311-E2311</f>
        <v>14832.540000000008</v>
      </c>
    </row>
    <row r="2312" spans="2:13" ht="15.75" thickBot="1" x14ac:dyDescent="0.3">
      <c r="B2312" s="214"/>
      <c r="C2312" s="215"/>
      <c r="D2312" s="234"/>
      <c r="E2312" s="213"/>
      <c r="F2312" s="234"/>
      <c r="G2312" s="219"/>
    </row>
    <row r="2313" spans="2:13" x14ac:dyDescent="0.25">
      <c r="B2313" s="214" t="s">
        <v>33</v>
      </c>
      <c r="C2313" s="215">
        <v>3072.42</v>
      </c>
      <c r="D2313" s="216">
        <v>1672.42</v>
      </c>
      <c r="E2313" s="212">
        <f>1672.42-D2313</f>
        <v>0</v>
      </c>
      <c r="F2313" s="216">
        <f t="shared" ref="F2313" si="149">D2313+E2313</f>
        <v>1672.42</v>
      </c>
      <c r="G2313" s="218">
        <f>C2313-D2313-E2313</f>
        <v>1400</v>
      </c>
    </row>
    <row r="2314" spans="2:13" ht="15.75" thickBot="1" x14ac:dyDescent="0.3">
      <c r="B2314" s="214"/>
      <c r="C2314" s="215"/>
      <c r="D2314" s="234"/>
      <c r="E2314" s="213"/>
      <c r="F2314" s="234"/>
      <c r="G2314" s="219"/>
    </row>
    <row r="2315" spans="2:13" x14ac:dyDescent="0.25">
      <c r="B2315" s="214" t="s">
        <v>34</v>
      </c>
      <c r="C2315" s="215">
        <v>0</v>
      </c>
      <c r="D2315" s="216">
        <v>0</v>
      </c>
      <c r="E2315" s="212">
        <f>-D2315</f>
        <v>0</v>
      </c>
      <c r="F2315" s="216">
        <f t="shared" ref="F2315" si="150">D2315+E2315</f>
        <v>0</v>
      </c>
      <c r="G2315" s="218">
        <f>C2315-D2315-E2315</f>
        <v>0</v>
      </c>
    </row>
    <row r="2316" spans="2:13" ht="15.75" thickBot="1" x14ac:dyDescent="0.3">
      <c r="B2316" s="214"/>
      <c r="C2316" s="215"/>
      <c r="D2316" s="234"/>
      <c r="E2316" s="213"/>
      <c r="F2316" s="234"/>
      <c r="G2316" s="219"/>
    </row>
    <row r="2317" spans="2:13" x14ac:dyDescent="0.25">
      <c r="B2317" s="214" t="s">
        <v>35</v>
      </c>
      <c r="C2317" s="215">
        <v>0</v>
      </c>
      <c r="D2317" s="216">
        <v>0</v>
      </c>
      <c r="E2317" s="212">
        <f>-D2317</f>
        <v>0</v>
      </c>
      <c r="F2317" s="216">
        <f t="shared" ref="F2317" si="151">D2317+E2317</f>
        <v>0</v>
      </c>
      <c r="G2317" s="218">
        <f>C2317-D2317-E2317</f>
        <v>0</v>
      </c>
    </row>
    <row r="2318" spans="2:13" ht="15.75" thickBot="1" x14ac:dyDescent="0.3">
      <c r="B2318" s="214"/>
      <c r="C2318" s="215"/>
      <c r="D2318" s="234"/>
      <c r="E2318" s="213"/>
      <c r="F2318" s="234"/>
      <c r="G2318" s="219"/>
    </row>
    <row r="2319" spans="2:13" ht="30.75" thickBot="1" x14ac:dyDescent="0.3">
      <c r="B2319" s="214" t="s">
        <v>36</v>
      </c>
      <c r="C2319" s="215">
        <v>0</v>
      </c>
      <c r="D2319" s="216">
        <v>0</v>
      </c>
      <c r="E2319" s="212">
        <f>-D2319</f>
        <v>0</v>
      </c>
      <c r="F2319" s="216">
        <f t="shared" ref="F2319" si="152">D2319+E2319</f>
        <v>0</v>
      </c>
      <c r="G2319" s="218">
        <f>C2319-D2319-E2319</f>
        <v>0</v>
      </c>
      <c r="H2319" s="155" t="s">
        <v>67</v>
      </c>
      <c r="I2319" s="154" t="s">
        <v>60</v>
      </c>
      <c r="J2319" s="120" t="s">
        <v>61</v>
      </c>
      <c r="K2319" s="126" t="s">
        <v>66</v>
      </c>
      <c r="L2319" s="133" t="s">
        <v>62</v>
      </c>
      <c r="M2319" s="147" t="s">
        <v>63</v>
      </c>
    </row>
    <row r="2320" spans="2:13" ht="15.75" thickBot="1" x14ac:dyDescent="0.3">
      <c r="B2320" s="220"/>
      <c r="C2320" s="221"/>
      <c r="D2320" s="244"/>
      <c r="E2320" s="213"/>
      <c r="F2320" s="234"/>
      <c r="G2320" s="219"/>
      <c r="H2320" s="62">
        <v>100</v>
      </c>
      <c r="I2320" s="63">
        <f>I2321*100/H2321</f>
        <v>36.738010243059726</v>
      </c>
      <c r="J2320" s="63">
        <f>+J2321*100/H2321</f>
        <v>24.576987923977665</v>
      </c>
      <c r="K2320" s="64">
        <f>(D2321+E2321)*100/C2321</f>
        <v>61.314998167037373</v>
      </c>
      <c r="L2320" s="91">
        <f>G2321*100/C2321</f>
        <v>38.685001832962612</v>
      </c>
      <c r="M2320" s="112">
        <f>M2321*100/H2321</f>
        <v>63.261989756940274</v>
      </c>
    </row>
    <row r="2321" spans="2:13" ht="15.75" thickBot="1" x14ac:dyDescent="0.3">
      <c r="B2321" s="14" t="s">
        <v>22</v>
      </c>
      <c r="C2321" s="15">
        <f>SUM(C2305:C2320)</f>
        <v>317682.42</v>
      </c>
      <c r="D2321" s="15">
        <f>SUM(D2305:D2319)</f>
        <v>116710.2</v>
      </c>
      <c r="E2321" s="16">
        <f>SUM(E2305:E2320)</f>
        <v>78076.76999999999</v>
      </c>
      <c r="F2321" s="16">
        <f>SUM(F2305:F2320)</f>
        <v>194786.97</v>
      </c>
      <c r="G2321" s="46">
        <f>C2321-D2321-E2321</f>
        <v>122895.44999999998</v>
      </c>
      <c r="H2321" s="80">
        <f>K2321+L2321</f>
        <v>317682.41999999993</v>
      </c>
      <c r="I2321" s="81">
        <f>+D2321</f>
        <v>116710.2</v>
      </c>
      <c r="J2321" s="81">
        <f>+E2321</f>
        <v>78076.76999999999</v>
      </c>
      <c r="K2321" s="82">
        <f>D2321+E2321</f>
        <v>194786.96999999997</v>
      </c>
      <c r="L2321" s="95">
        <f>+G2321</f>
        <v>122895.44999999998</v>
      </c>
      <c r="M2321" s="97">
        <f>H2321-I2321</f>
        <v>200972.21999999991</v>
      </c>
    </row>
    <row r="2322" spans="2:13" ht="15.75" thickBot="1" x14ac:dyDescent="0.3">
      <c r="B2322" s="17" t="s">
        <v>23</v>
      </c>
      <c r="C2322" s="18">
        <f>C2304+C2321</f>
        <v>654055.75</v>
      </c>
      <c r="D2322" s="19">
        <f>D2321+D2304</f>
        <v>315469.89</v>
      </c>
      <c r="E2322" s="20">
        <f>E2304+E2321</f>
        <v>84061.040000000008</v>
      </c>
      <c r="F2322" s="20">
        <f>F2304+F2321</f>
        <v>399530.93</v>
      </c>
      <c r="G2322" s="28">
        <f>C2322-D2322-E2322</f>
        <v>254524.81999999998</v>
      </c>
      <c r="H2322" s="50">
        <f>+C2322</f>
        <v>654055.75</v>
      </c>
      <c r="I2322" s="51">
        <f>+D2322</f>
        <v>315469.89</v>
      </c>
      <c r="J2322" s="51">
        <f>+E2322</f>
        <v>84061.040000000008</v>
      </c>
      <c r="K2322" s="51">
        <f>I2322+J2322</f>
        <v>399530.93000000005</v>
      </c>
      <c r="L2322" s="100">
        <f>H2322-K2322</f>
        <v>254524.81999999995</v>
      </c>
      <c r="M2322" s="97">
        <f>H2322-I2322</f>
        <v>338585.86</v>
      </c>
    </row>
    <row r="2323" spans="2:13" ht="15.75" thickBot="1" x14ac:dyDescent="0.3">
      <c r="B2323" s="12"/>
      <c r="C2323" s="13"/>
      <c r="D2323" s="12"/>
      <c r="E2323" s="12"/>
      <c r="F2323" s="12"/>
      <c r="G2323" s="12"/>
      <c r="H2323" s="129">
        <v>100</v>
      </c>
      <c r="I2323" s="130">
        <f>I2322*100/H2322</f>
        <v>48.232874644095709</v>
      </c>
      <c r="J2323" s="130">
        <f>J2322*100/H2322</f>
        <v>12.852274442966062</v>
      </c>
      <c r="K2323" s="130">
        <f>K2322*100/H2322</f>
        <v>61.085149087061779</v>
      </c>
      <c r="L2323" s="131">
        <f>L2322*100/H2322</f>
        <v>38.914850912938228</v>
      </c>
      <c r="M2323" s="132">
        <f>M2322*100/H2322</f>
        <v>51.767125355904291</v>
      </c>
    </row>
    <row r="2324" spans="2:13" x14ac:dyDescent="0.25">
      <c r="B2324" s="12"/>
      <c r="C2324" s="13"/>
      <c r="D2324" s="12"/>
      <c r="E2324" s="12"/>
      <c r="F2324" s="12"/>
      <c r="G2324" s="12"/>
    </row>
    <row r="2325" spans="2:13" x14ac:dyDescent="0.25">
      <c r="B2325" s="12"/>
      <c r="C2325" s="13"/>
      <c r="D2325" s="12"/>
      <c r="E2325" s="12"/>
      <c r="F2325" s="12"/>
      <c r="G2325" s="12"/>
    </row>
    <row r="2326" spans="2:13" x14ac:dyDescent="0.25">
      <c r="B2326" s="12"/>
      <c r="C2326" s="13"/>
      <c r="D2326" s="12"/>
      <c r="E2326" s="12"/>
      <c r="F2326" s="12"/>
      <c r="G2326" s="12"/>
    </row>
    <row r="2327" spans="2:13" x14ac:dyDescent="0.25">
      <c r="B2327" s="12"/>
      <c r="C2327" s="13"/>
      <c r="D2327" s="12"/>
      <c r="E2327" s="12"/>
      <c r="F2327" s="12"/>
      <c r="G2327" s="12"/>
    </row>
    <row r="2328" spans="2:13" x14ac:dyDescent="0.25">
      <c r="B2328" s="12"/>
      <c r="C2328" s="13"/>
      <c r="D2328" s="12"/>
      <c r="E2328" s="12"/>
      <c r="F2328" s="12"/>
      <c r="G2328" s="12"/>
    </row>
    <row r="2329" spans="2:13" x14ac:dyDescent="0.25">
      <c r="B2329" s="12"/>
      <c r="C2329" s="13"/>
      <c r="D2329" s="12"/>
      <c r="E2329" s="12"/>
      <c r="F2329" s="12"/>
      <c r="G2329" s="12"/>
    </row>
    <row r="2330" spans="2:13" x14ac:dyDescent="0.25">
      <c r="B2330" s="12"/>
      <c r="C2330" s="13"/>
      <c r="D2330" s="12"/>
      <c r="E2330" s="12"/>
      <c r="F2330" s="12"/>
      <c r="G2330" s="12"/>
    </row>
    <row r="2331" spans="2:13" x14ac:dyDescent="0.25">
      <c r="B2331" s="12"/>
      <c r="C2331" s="13"/>
      <c r="D2331" s="12"/>
      <c r="E2331" s="12"/>
      <c r="F2331" s="12"/>
      <c r="G2331" s="12"/>
    </row>
    <row r="2332" spans="2:13" x14ac:dyDescent="0.25">
      <c r="B2332" s="12"/>
      <c r="C2332" s="13"/>
      <c r="D2332" s="12"/>
      <c r="E2332" s="12"/>
      <c r="F2332" s="12"/>
      <c r="G2332" s="12"/>
    </row>
    <row r="2333" spans="2:13" x14ac:dyDescent="0.25">
      <c r="B2333" s="12"/>
      <c r="C2333" s="13"/>
      <c r="D2333" s="12"/>
      <c r="E2333" s="12"/>
      <c r="F2333" s="12"/>
      <c r="G2333" s="12"/>
    </row>
    <row r="2334" spans="2:13" x14ac:dyDescent="0.25">
      <c r="B2334" s="12"/>
      <c r="C2334" s="13"/>
      <c r="D2334" s="12"/>
      <c r="E2334" s="12"/>
      <c r="F2334" s="12"/>
      <c r="G2334" s="12"/>
    </row>
    <row r="2335" spans="2:13" x14ac:dyDescent="0.25">
      <c r="B2335" s="12"/>
      <c r="C2335" s="13"/>
      <c r="D2335" s="12"/>
      <c r="E2335" s="12"/>
      <c r="F2335" s="12"/>
      <c r="G2335" s="12"/>
    </row>
    <row r="2336" spans="2:13" x14ac:dyDescent="0.25">
      <c r="B2336" s="12"/>
      <c r="C2336" s="13"/>
      <c r="D2336" s="12"/>
      <c r="E2336" s="12"/>
      <c r="F2336" s="12"/>
      <c r="G2336" s="12"/>
    </row>
    <row r="2337" spans="2:12" x14ac:dyDescent="0.25">
      <c r="B2337" s="12"/>
      <c r="C2337" s="13"/>
      <c r="D2337" s="12"/>
      <c r="E2337" s="12"/>
      <c r="F2337" s="12"/>
      <c r="G2337" s="12"/>
    </row>
    <row r="2338" spans="2:12" x14ac:dyDescent="0.25">
      <c r="B2338" s="12"/>
      <c r="C2338" s="13"/>
      <c r="D2338" s="12"/>
      <c r="E2338" s="12"/>
      <c r="F2338" s="12"/>
      <c r="G2338" s="12"/>
    </row>
    <row r="2339" spans="2:12" x14ac:dyDescent="0.25">
      <c r="B2339" s="12"/>
      <c r="C2339" s="13"/>
      <c r="D2339" s="12"/>
      <c r="E2339" s="12"/>
      <c r="F2339" s="12"/>
      <c r="G2339" s="12"/>
    </row>
    <row r="2340" spans="2:12" x14ac:dyDescent="0.25">
      <c r="B2340" s="12"/>
      <c r="C2340" s="13"/>
      <c r="D2340" s="12"/>
      <c r="E2340" s="12"/>
      <c r="F2340" s="12"/>
      <c r="G2340" s="12"/>
    </row>
    <row r="2341" spans="2:12" x14ac:dyDescent="0.25">
      <c r="B2341" s="225" t="s">
        <v>0</v>
      </c>
      <c r="C2341" s="225"/>
      <c r="D2341" s="225"/>
      <c r="E2341" s="225"/>
      <c r="F2341" s="225"/>
      <c r="G2341" s="225"/>
    </row>
    <row r="2342" spans="2:12" x14ac:dyDescent="0.25">
      <c r="B2342" s="225" t="s">
        <v>1</v>
      </c>
      <c r="C2342" s="225"/>
      <c r="D2342" s="225"/>
      <c r="E2342" s="225"/>
      <c r="F2342" s="225"/>
      <c r="G2342" s="225"/>
    </row>
    <row r="2343" spans="2:12" x14ac:dyDescent="0.25">
      <c r="B2343" s="225" t="s">
        <v>37</v>
      </c>
      <c r="C2343" s="225"/>
      <c r="D2343" s="225"/>
      <c r="E2343" s="225"/>
      <c r="F2343" s="225"/>
      <c r="G2343" s="225"/>
    </row>
    <row r="2344" spans="2:12" x14ac:dyDescent="0.25">
      <c r="B2344" s="225" t="s">
        <v>53</v>
      </c>
      <c r="C2344" s="225"/>
      <c r="D2344" s="225"/>
      <c r="E2344" s="225"/>
      <c r="F2344" s="225"/>
      <c r="G2344" s="225"/>
    </row>
    <row r="2345" spans="2:12" x14ac:dyDescent="0.25">
      <c r="B2345" s="225" t="s">
        <v>124</v>
      </c>
      <c r="C2345" s="225"/>
      <c r="D2345" s="225"/>
      <c r="E2345" s="225"/>
      <c r="F2345" s="225"/>
      <c r="G2345" s="225"/>
    </row>
    <row r="2346" spans="2:12" ht="15.75" thickBot="1" x14ac:dyDescent="0.3">
      <c r="B2346" s="12"/>
      <c r="C2346" s="13"/>
      <c r="D2346" s="12"/>
      <c r="E2346" s="12"/>
      <c r="F2346" s="12"/>
      <c r="G2346" s="12"/>
    </row>
    <row r="2347" spans="2:12" ht="36.75" thickBot="1" x14ac:dyDescent="0.3">
      <c r="B2347" s="185"/>
      <c r="C2347" s="184" t="s">
        <v>5</v>
      </c>
      <c r="D2347" s="161" t="s">
        <v>72</v>
      </c>
      <c r="E2347" s="172" t="s">
        <v>6</v>
      </c>
      <c r="F2347" s="161" t="s">
        <v>60</v>
      </c>
      <c r="G2347" s="172" t="s">
        <v>7</v>
      </c>
      <c r="H2347" s="180" t="s">
        <v>98</v>
      </c>
      <c r="I2347" s="172" t="s">
        <v>65</v>
      </c>
      <c r="J2347" s="180" t="s">
        <v>99</v>
      </c>
      <c r="K2347" s="177" t="s">
        <v>8</v>
      </c>
      <c r="L2347" s="181" t="s">
        <v>100</v>
      </c>
    </row>
    <row r="2348" spans="2:12" ht="30.75" thickBot="1" x14ac:dyDescent="0.3">
      <c r="B2348" s="186" t="s">
        <v>102</v>
      </c>
      <c r="C2348" s="182">
        <v>654055.75</v>
      </c>
      <c r="D2348" s="174">
        <v>1</v>
      </c>
      <c r="E2348" s="170">
        <v>315469.89</v>
      </c>
      <c r="F2348" s="175">
        <f>E2348/C2348</f>
        <v>0.48232874644095708</v>
      </c>
      <c r="G2348" s="170">
        <v>84061.04</v>
      </c>
      <c r="H2348" s="175">
        <f>G2348/C2348</f>
        <v>0.12852274442966061</v>
      </c>
      <c r="I2348" s="170">
        <f>E2348+G2348</f>
        <v>399530.93</v>
      </c>
      <c r="J2348" s="175">
        <f>I2348/C2348</f>
        <v>0.61085149087061763</v>
      </c>
      <c r="K2348" s="189">
        <f>C2348-I2348</f>
        <v>254524.82</v>
      </c>
      <c r="L2348" s="190">
        <f>K2348/C2348</f>
        <v>0.38914850912938231</v>
      </c>
    </row>
    <row r="2349" spans="2:12" x14ac:dyDescent="0.25">
      <c r="B2349" s="12"/>
      <c r="C2349" s="13"/>
      <c r="D2349" s="12"/>
      <c r="E2349" s="12"/>
      <c r="F2349" s="12"/>
      <c r="G2349" s="12"/>
    </row>
    <row r="2350" spans="2:12" x14ac:dyDescent="0.25">
      <c r="B2350" s="12"/>
      <c r="C2350" s="13"/>
      <c r="D2350" s="12"/>
      <c r="E2350" s="12"/>
      <c r="F2350" s="12"/>
      <c r="G2350" s="12"/>
    </row>
    <row r="2351" spans="2:12" x14ac:dyDescent="0.25">
      <c r="B2351" s="12"/>
      <c r="C2351" s="13"/>
      <c r="D2351" s="12"/>
      <c r="E2351" s="12"/>
      <c r="F2351" s="12"/>
      <c r="G2351" s="12"/>
    </row>
    <row r="2352" spans="2:12" x14ac:dyDescent="0.25">
      <c r="B2352" s="12"/>
      <c r="C2352" s="13"/>
      <c r="D2352" s="12"/>
      <c r="E2352" s="12"/>
      <c r="F2352" s="12"/>
      <c r="G2352" s="12"/>
    </row>
    <row r="2353" spans="2:7" x14ac:dyDescent="0.25">
      <c r="B2353" s="12"/>
      <c r="C2353" s="13"/>
      <c r="D2353" s="12"/>
      <c r="E2353" s="12"/>
      <c r="F2353" s="12"/>
      <c r="G2353" s="12"/>
    </row>
    <row r="2354" spans="2:7" x14ac:dyDescent="0.25">
      <c r="B2354" s="12"/>
      <c r="C2354" s="13"/>
      <c r="D2354" s="12"/>
      <c r="E2354" s="12"/>
      <c r="F2354" s="12"/>
      <c r="G2354" s="12"/>
    </row>
    <row r="2355" spans="2:7" x14ac:dyDescent="0.25">
      <c r="B2355" s="12"/>
      <c r="C2355" s="13"/>
      <c r="D2355" s="12"/>
      <c r="E2355" s="12"/>
      <c r="F2355" s="12"/>
      <c r="G2355" s="12"/>
    </row>
    <row r="2356" spans="2:7" x14ac:dyDescent="0.25">
      <c r="B2356" s="12"/>
      <c r="C2356" s="13"/>
      <c r="D2356" s="12"/>
      <c r="E2356" s="12"/>
      <c r="F2356" s="12"/>
      <c r="G2356" s="12"/>
    </row>
    <row r="2357" spans="2:7" x14ac:dyDescent="0.25">
      <c r="B2357" s="12"/>
      <c r="C2357" s="13"/>
      <c r="D2357" s="12"/>
      <c r="E2357" s="12"/>
      <c r="F2357" s="12"/>
      <c r="G2357" s="12"/>
    </row>
    <row r="2358" spans="2:7" x14ac:dyDescent="0.25">
      <c r="B2358" s="12"/>
      <c r="C2358" s="13"/>
      <c r="D2358" s="12"/>
      <c r="E2358" s="12"/>
      <c r="F2358" s="12"/>
      <c r="G2358" s="12"/>
    </row>
    <row r="2359" spans="2:7" x14ac:dyDescent="0.25">
      <c r="B2359" s="12"/>
      <c r="C2359" s="13"/>
      <c r="D2359" s="12"/>
      <c r="E2359" s="12"/>
      <c r="F2359" s="12"/>
      <c r="G2359" s="12"/>
    </row>
    <row r="2360" spans="2:7" x14ac:dyDescent="0.25">
      <c r="B2360" s="12"/>
      <c r="C2360" s="13"/>
      <c r="D2360" s="12"/>
      <c r="E2360" s="12"/>
      <c r="F2360" s="12"/>
      <c r="G2360" s="12"/>
    </row>
    <row r="2361" spans="2:7" x14ac:dyDescent="0.25">
      <c r="B2361" s="12"/>
      <c r="C2361" s="13"/>
      <c r="D2361" s="12"/>
      <c r="E2361" s="12"/>
      <c r="F2361" s="12"/>
      <c r="G2361" s="12"/>
    </row>
    <row r="2362" spans="2:7" x14ac:dyDescent="0.25">
      <c r="B2362" s="12"/>
      <c r="C2362" s="13"/>
      <c r="D2362" s="12"/>
      <c r="E2362" s="12"/>
      <c r="F2362" s="12"/>
      <c r="G2362" s="12"/>
    </row>
    <row r="2363" spans="2:7" x14ac:dyDescent="0.25">
      <c r="B2363" s="12"/>
      <c r="C2363" s="13"/>
      <c r="D2363" s="12"/>
      <c r="E2363" s="12"/>
      <c r="F2363" s="12"/>
      <c r="G2363" s="12"/>
    </row>
    <row r="2364" spans="2:7" x14ac:dyDescent="0.25">
      <c r="B2364" s="12"/>
      <c r="C2364" s="13"/>
      <c r="D2364" s="12"/>
      <c r="E2364" s="12"/>
      <c r="F2364" s="12"/>
      <c r="G2364" s="12"/>
    </row>
    <row r="2365" spans="2:7" x14ac:dyDescent="0.25">
      <c r="B2365" s="12"/>
      <c r="C2365" s="13"/>
      <c r="D2365" s="12"/>
      <c r="E2365" s="12"/>
      <c r="F2365" s="12"/>
      <c r="G2365" s="12"/>
    </row>
    <row r="2366" spans="2:7" x14ac:dyDescent="0.25">
      <c r="B2366" s="12"/>
      <c r="C2366" s="13"/>
      <c r="D2366" s="12"/>
      <c r="E2366" s="12"/>
      <c r="F2366" s="12"/>
      <c r="G2366" s="12"/>
    </row>
    <row r="2367" spans="2:7" x14ac:dyDescent="0.25">
      <c r="B2367" s="12"/>
      <c r="C2367" s="13"/>
      <c r="D2367" s="12"/>
      <c r="E2367" s="12"/>
      <c r="F2367" s="12"/>
      <c r="G2367" s="12"/>
    </row>
    <row r="2368" spans="2:7" x14ac:dyDescent="0.25">
      <c r="B2368" s="12"/>
      <c r="C2368" s="13"/>
      <c r="D2368" s="12"/>
      <c r="E2368" s="12"/>
      <c r="F2368" s="12"/>
      <c r="G2368" s="12"/>
    </row>
    <row r="2369" spans="2:7" x14ac:dyDescent="0.25">
      <c r="B2369" s="12"/>
      <c r="C2369" s="13"/>
      <c r="D2369" s="12"/>
      <c r="E2369" s="12"/>
      <c r="F2369" s="12"/>
      <c r="G2369" s="12"/>
    </row>
    <row r="2370" spans="2:7" x14ac:dyDescent="0.25">
      <c r="B2370" s="12"/>
      <c r="C2370" s="13"/>
      <c r="D2370" s="12"/>
      <c r="E2370" s="12"/>
      <c r="F2370" s="12"/>
      <c r="G2370" s="12"/>
    </row>
    <row r="2371" spans="2:7" x14ac:dyDescent="0.25">
      <c r="B2371" s="12"/>
      <c r="C2371" s="13"/>
      <c r="D2371" s="12"/>
      <c r="E2371" s="12"/>
      <c r="F2371" s="12"/>
      <c r="G2371" s="12"/>
    </row>
    <row r="2372" spans="2:7" x14ac:dyDescent="0.25">
      <c r="B2372" s="12"/>
      <c r="C2372" s="13"/>
      <c r="D2372" s="12"/>
      <c r="E2372" s="12"/>
      <c r="F2372" s="12"/>
      <c r="G2372" s="12"/>
    </row>
    <row r="2373" spans="2:7" x14ac:dyDescent="0.25">
      <c r="B2373" s="12"/>
      <c r="C2373" s="13"/>
      <c r="D2373" s="12"/>
      <c r="E2373" s="12"/>
      <c r="F2373" s="12"/>
      <c r="G2373" s="12"/>
    </row>
    <row r="2374" spans="2:7" x14ac:dyDescent="0.25">
      <c r="B2374" s="12"/>
      <c r="C2374" s="13"/>
      <c r="D2374" s="12"/>
      <c r="E2374" s="12"/>
      <c r="F2374" s="12"/>
      <c r="G2374" s="12"/>
    </row>
    <row r="2375" spans="2:7" x14ac:dyDescent="0.25">
      <c r="B2375" s="12"/>
      <c r="C2375" s="13"/>
      <c r="D2375" s="12"/>
      <c r="E2375" s="12"/>
      <c r="F2375" s="12"/>
      <c r="G2375" s="12"/>
    </row>
    <row r="2376" spans="2:7" x14ac:dyDescent="0.25">
      <c r="B2376" s="12"/>
      <c r="C2376" s="13"/>
      <c r="D2376" s="12"/>
      <c r="E2376" s="12"/>
      <c r="F2376" s="12"/>
      <c r="G2376" s="12"/>
    </row>
    <row r="2377" spans="2:7" x14ac:dyDescent="0.25">
      <c r="B2377" s="12"/>
      <c r="C2377" s="13"/>
      <c r="D2377" s="12"/>
      <c r="E2377" s="12"/>
      <c r="F2377" s="12"/>
      <c r="G2377" s="12"/>
    </row>
    <row r="2378" spans="2:7" x14ac:dyDescent="0.25">
      <c r="B2378" s="12"/>
      <c r="C2378" s="13"/>
      <c r="D2378" s="12"/>
      <c r="E2378" s="12"/>
      <c r="F2378" s="12"/>
      <c r="G2378" s="12"/>
    </row>
    <row r="2379" spans="2:7" x14ac:dyDescent="0.25">
      <c r="B2379" s="12"/>
      <c r="C2379" s="13"/>
      <c r="D2379" s="12"/>
      <c r="E2379" s="12"/>
      <c r="F2379" s="12"/>
      <c r="G2379" s="12"/>
    </row>
    <row r="2380" spans="2:7" x14ac:dyDescent="0.25">
      <c r="B2380" s="12"/>
      <c r="C2380" s="13"/>
      <c r="D2380" s="12"/>
      <c r="E2380" s="12"/>
      <c r="F2380" s="12"/>
      <c r="G2380" s="12"/>
    </row>
    <row r="2381" spans="2:7" x14ac:dyDescent="0.25">
      <c r="B2381" s="12"/>
      <c r="C2381" s="13"/>
      <c r="D2381" s="12"/>
      <c r="E2381" s="12"/>
      <c r="F2381" s="12"/>
      <c r="G2381" s="12"/>
    </row>
    <row r="2382" spans="2:7" x14ac:dyDescent="0.25">
      <c r="B2382" s="12"/>
      <c r="C2382" s="13"/>
      <c r="D2382" s="12"/>
      <c r="E2382" s="12"/>
      <c r="F2382" s="12"/>
      <c r="G2382" s="12"/>
    </row>
    <row r="2383" spans="2:7" x14ac:dyDescent="0.25">
      <c r="B2383" s="12"/>
      <c r="C2383" s="13"/>
      <c r="D2383" s="12"/>
      <c r="E2383" s="12"/>
      <c r="F2383" s="12"/>
      <c r="G2383" s="12"/>
    </row>
    <row r="2384" spans="2:7" x14ac:dyDescent="0.25">
      <c r="B2384" s="12"/>
      <c r="C2384" s="13"/>
      <c r="D2384" s="12"/>
      <c r="E2384" s="12"/>
      <c r="F2384" s="12"/>
      <c r="G2384" s="12"/>
    </row>
    <row r="2385" spans="2:7" x14ac:dyDescent="0.25">
      <c r="B2385" s="12"/>
      <c r="C2385" s="13"/>
      <c r="D2385" s="12"/>
      <c r="E2385" s="12"/>
      <c r="F2385" s="12"/>
      <c r="G2385" s="12"/>
    </row>
    <row r="2386" spans="2:7" x14ac:dyDescent="0.25">
      <c r="B2386" s="12"/>
      <c r="C2386" s="13"/>
      <c r="D2386" s="12"/>
      <c r="E2386" s="12"/>
      <c r="F2386" s="12"/>
      <c r="G2386" s="12"/>
    </row>
    <row r="2387" spans="2:7" x14ac:dyDescent="0.25">
      <c r="B2387" s="12"/>
      <c r="C2387" s="13"/>
      <c r="D2387" s="12"/>
      <c r="E2387" s="12"/>
      <c r="F2387" s="12"/>
      <c r="G2387" s="12"/>
    </row>
    <row r="2388" spans="2:7" x14ac:dyDescent="0.25">
      <c r="B2388" s="12"/>
      <c r="C2388" s="13"/>
      <c r="D2388" s="12"/>
      <c r="E2388" s="12"/>
      <c r="F2388" s="12"/>
      <c r="G2388" s="12"/>
    </row>
    <row r="2389" spans="2:7" x14ac:dyDescent="0.25">
      <c r="B2389" s="12"/>
      <c r="C2389" s="13"/>
      <c r="D2389" s="12"/>
      <c r="E2389" s="12"/>
      <c r="F2389" s="12"/>
      <c r="G2389" s="12"/>
    </row>
    <row r="2390" spans="2:7" x14ac:dyDescent="0.25">
      <c r="B2390" s="12"/>
      <c r="C2390" s="13"/>
      <c r="D2390" s="12"/>
      <c r="E2390" s="12"/>
      <c r="F2390" s="12"/>
      <c r="G2390" s="12"/>
    </row>
    <row r="2391" spans="2:7" x14ac:dyDescent="0.25">
      <c r="B2391" s="12"/>
      <c r="C2391" s="13"/>
      <c r="D2391" s="12"/>
      <c r="E2391" s="12"/>
      <c r="F2391" s="12"/>
      <c r="G2391" s="12"/>
    </row>
    <row r="2392" spans="2:7" x14ac:dyDescent="0.25">
      <c r="B2392" s="12"/>
      <c r="C2392" s="13"/>
      <c r="D2392" s="12"/>
      <c r="E2392" s="12"/>
      <c r="F2392" s="12"/>
      <c r="G2392" s="12"/>
    </row>
    <row r="2393" spans="2:7" x14ac:dyDescent="0.25">
      <c r="B2393" s="12"/>
      <c r="C2393" s="13"/>
      <c r="D2393" s="12"/>
      <c r="E2393" s="12"/>
      <c r="F2393" s="12"/>
      <c r="G2393" s="12"/>
    </row>
    <row r="2394" spans="2:7" x14ac:dyDescent="0.25">
      <c r="B2394" s="225" t="s">
        <v>0</v>
      </c>
      <c r="C2394" s="225"/>
      <c r="D2394" s="225"/>
      <c r="E2394" s="225"/>
      <c r="F2394" s="225"/>
      <c r="G2394" s="225"/>
    </row>
    <row r="2395" spans="2:7" x14ac:dyDescent="0.25">
      <c r="B2395" s="225" t="s">
        <v>1</v>
      </c>
      <c r="C2395" s="225"/>
      <c r="D2395" s="225"/>
      <c r="E2395" s="225"/>
      <c r="F2395" s="225"/>
      <c r="G2395" s="225"/>
    </row>
    <row r="2396" spans="2:7" x14ac:dyDescent="0.25">
      <c r="B2396" s="225" t="s">
        <v>37</v>
      </c>
      <c r="C2396" s="225"/>
      <c r="D2396" s="225"/>
      <c r="E2396" s="225"/>
      <c r="F2396" s="225"/>
      <c r="G2396" s="225"/>
    </row>
    <row r="2397" spans="2:7" x14ac:dyDescent="0.25">
      <c r="B2397" s="225" t="s">
        <v>54</v>
      </c>
      <c r="C2397" s="225"/>
      <c r="D2397" s="225"/>
      <c r="E2397" s="225"/>
      <c r="F2397" s="225"/>
      <c r="G2397" s="225"/>
    </row>
    <row r="2398" spans="2:7" x14ac:dyDescent="0.25">
      <c r="B2398" s="225" t="s">
        <v>124</v>
      </c>
      <c r="C2398" s="225"/>
      <c r="D2398" s="225"/>
      <c r="E2398" s="225"/>
      <c r="F2398" s="225"/>
      <c r="G2398" s="225"/>
    </row>
    <row r="2399" spans="2:7" ht="15.75" thickBot="1" x14ac:dyDescent="0.3">
      <c r="B2399" s="159"/>
      <c r="C2399" s="159"/>
      <c r="D2399" s="159"/>
      <c r="E2399" s="159"/>
      <c r="F2399" s="159"/>
      <c r="G2399" s="12"/>
    </row>
    <row r="2400" spans="2:7" ht="24.75" thickBot="1" x14ac:dyDescent="0.3">
      <c r="B2400" s="2" t="s">
        <v>4</v>
      </c>
      <c r="C2400" s="3" t="s">
        <v>5</v>
      </c>
      <c r="D2400" s="3" t="s">
        <v>6</v>
      </c>
      <c r="E2400" s="4" t="s">
        <v>7</v>
      </c>
      <c r="F2400" s="3" t="s">
        <v>65</v>
      </c>
      <c r="G2400" s="3" t="s">
        <v>8</v>
      </c>
    </row>
    <row r="2401" spans="2:13" x14ac:dyDescent="0.25">
      <c r="B2401" s="226" t="s">
        <v>25</v>
      </c>
      <c r="C2401" s="228">
        <v>1476231.29</v>
      </c>
      <c r="D2401" s="245">
        <v>1053095.07</v>
      </c>
      <c r="E2401" s="229">
        <f>1080809.92-D2401</f>
        <v>27714.84999999986</v>
      </c>
      <c r="F2401" s="228">
        <f>D2401+E2401</f>
        <v>1080809.92</v>
      </c>
      <c r="G2401" s="228">
        <f>C2401-D2401-E2401</f>
        <v>395421.37000000011</v>
      </c>
    </row>
    <row r="2402" spans="2:13" ht="15.75" thickBot="1" x14ac:dyDescent="0.3">
      <c r="B2402" s="227"/>
      <c r="C2402" s="215"/>
      <c r="D2402" s="234"/>
      <c r="E2402" s="230"/>
      <c r="F2402" s="215"/>
      <c r="G2402" s="215"/>
    </row>
    <row r="2403" spans="2:13" x14ac:dyDescent="0.25">
      <c r="B2403" s="231" t="s">
        <v>26</v>
      </c>
      <c r="C2403" s="215">
        <v>489667.64</v>
      </c>
      <c r="D2403" s="216">
        <v>226695.72</v>
      </c>
      <c r="E2403" s="236">
        <f>351056.82-D2403</f>
        <v>124361.1</v>
      </c>
      <c r="F2403" s="216">
        <f>D2403+E2403</f>
        <v>351056.82</v>
      </c>
      <c r="G2403" s="228">
        <f>C2403-D2403-E2403</f>
        <v>138610.82000000004</v>
      </c>
    </row>
    <row r="2404" spans="2:13" ht="15.75" thickBot="1" x14ac:dyDescent="0.3">
      <c r="B2404" s="231"/>
      <c r="C2404" s="215"/>
      <c r="D2404" s="234"/>
      <c r="E2404" s="263"/>
      <c r="F2404" s="217"/>
      <c r="G2404" s="215"/>
    </row>
    <row r="2405" spans="2:13" x14ac:dyDescent="0.25">
      <c r="B2405" s="231" t="s">
        <v>27</v>
      </c>
      <c r="C2405" s="215">
        <v>154071.67999999999</v>
      </c>
      <c r="D2405" s="216">
        <v>74586.289999999994</v>
      </c>
      <c r="E2405" s="236">
        <f>80322.54-D2405</f>
        <v>5736.25</v>
      </c>
      <c r="F2405" s="216">
        <f t="shared" ref="F2405" si="153">D2405+E2405</f>
        <v>80322.539999999994</v>
      </c>
      <c r="G2405" s="228">
        <f>C2405-D2405-E2405</f>
        <v>73749.14</v>
      </c>
    </row>
    <row r="2406" spans="2:13" ht="15.75" thickBot="1" x14ac:dyDescent="0.3">
      <c r="B2406" s="231"/>
      <c r="C2406" s="215"/>
      <c r="D2406" s="234"/>
      <c r="E2406" s="263"/>
      <c r="F2406" s="217"/>
      <c r="G2406" s="215"/>
    </row>
    <row r="2407" spans="2:13" ht="30.75" thickBot="1" x14ac:dyDescent="0.3">
      <c r="B2407" s="231" t="s">
        <v>28</v>
      </c>
      <c r="C2407" s="215">
        <v>0</v>
      </c>
      <c r="D2407" s="216">
        <v>0</v>
      </c>
      <c r="E2407" s="236">
        <f>C2407-D2407</f>
        <v>0</v>
      </c>
      <c r="F2407" s="216">
        <f t="shared" ref="F2407" si="154">D2407+E2407</f>
        <v>0</v>
      </c>
      <c r="G2407" s="228">
        <f>C2407-D2407-E2407</f>
        <v>0</v>
      </c>
      <c r="H2407" s="155" t="s">
        <v>67</v>
      </c>
      <c r="I2407" s="154" t="s">
        <v>60</v>
      </c>
      <c r="J2407" s="120" t="s">
        <v>61</v>
      </c>
      <c r="K2407" s="126" t="s">
        <v>66</v>
      </c>
      <c r="L2407" s="133" t="s">
        <v>62</v>
      </c>
      <c r="M2407" s="147" t="s">
        <v>63</v>
      </c>
    </row>
    <row r="2408" spans="2:13" ht="15.75" thickBot="1" x14ac:dyDescent="0.3">
      <c r="B2408" s="232"/>
      <c r="C2408" s="216"/>
      <c r="D2408" s="244"/>
      <c r="E2408" s="264"/>
      <c r="F2408" s="222"/>
      <c r="G2408" s="239"/>
      <c r="H2408" s="58">
        <v>100</v>
      </c>
      <c r="I2408" s="59">
        <f>I2409*100/H2409</f>
        <v>63.886596993908313</v>
      </c>
      <c r="J2408" s="59">
        <f>J2409*100/H2409</f>
        <v>7.444074896868492</v>
      </c>
      <c r="K2408" s="59">
        <f>K2409*100/H2409</f>
        <v>71.330671890776813</v>
      </c>
      <c r="L2408" s="98">
        <f>L2409*100/H2409</f>
        <v>28.669328109223184</v>
      </c>
      <c r="M2408" s="136">
        <f>M2409*100/H2409</f>
        <v>36.11340300609168</v>
      </c>
    </row>
    <row r="2409" spans="2:13" ht="15.75" thickBot="1" x14ac:dyDescent="0.3">
      <c r="B2409" s="14" t="s">
        <v>13</v>
      </c>
      <c r="C2409" s="21">
        <f>SUM(C2401:C2408)</f>
        <v>2119970.6100000003</v>
      </c>
      <c r="D2409" s="21">
        <f>SUM(D2401:D2408)</f>
        <v>1354377.08</v>
      </c>
      <c r="E2409" s="22">
        <f>SUM(E2401:E2408)</f>
        <v>157812.19999999987</v>
      </c>
      <c r="F2409" s="22">
        <f>SUM(F2401:F2408)</f>
        <v>1512189.28</v>
      </c>
      <c r="G2409" s="46">
        <f>C2409-D2409-E2409</f>
        <v>607781.33000000042</v>
      </c>
      <c r="H2409" s="80">
        <f>+C2409</f>
        <v>2119970.6100000003</v>
      </c>
      <c r="I2409" s="82">
        <f>+D2409</f>
        <v>1354377.08</v>
      </c>
      <c r="J2409" s="82">
        <f>+E2409</f>
        <v>157812.19999999987</v>
      </c>
      <c r="K2409" s="82">
        <f>I2409+J2409</f>
        <v>1512189.28</v>
      </c>
      <c r="L2409" s="95">
        <f>H2409-K2409</f>
        <v>607781.33000000031</v>
      </c>
      <c r="M2409" s="141">
        <f>H2409-I2409</f>
        <v>765593.53000000026</v>
      </c>
    </row>
    <row r="2410" spans="2:13" x14ac:dyDescent="0.25">
      <c r="B2410" s="224" t="s">
        <v>29</v>
      </c>
      <c r="C2410" s="234">
        <v>218799.37</v>
      </c>
      <c r="D2410" s="245">
        <v>169719.42</v>
      </c>
      <c r="E2410" s="223">
        <f>172206.99-D2410</f>
        <v>2487.5699999999779</v>
      </c>
      <c r="F2410" s="212">
        <f t="shared" ref="F2410" si="155">D2410+E2410</f>
        <v>172206.99</v>
      </c>
      <c r="G2410" s="218">
        <f>C2410-D2410-E2410</f>
        <v>46592.380000000005</v>
      </c>
    </row>
    <row r="2411" spans="2:13" ht="15.75" thickBot="1" x14ac:dyDescent="0.3">
      <c r="B2411" s="214"/>
      <c r="C2411" s="215"/>
      <c r="D2411" s="234"/>
      <c r="E2411" s="213"/>
      <c r="F2411" s="213"/>
      <c r="G2411" s="219"/>
    </row>
    <row r="2412" spans="2:13" x14ac:dyDescent="0.25">
      <c r="B2412" s="214" t="s">
        <v>30</v>
      </c>
      <c r="C2412" s="215">
        <v>2668089.4900000002</v>
      </c>
      <c r="D2412" s="216">
        <v>11147.3</v>
      </c>
      <c r="E2412" s="212">
        <f>2059810.29-D2412</f>
        <v>2048662.99</v>
      </c>
      <c r="F2412" s="212">
        <f t="shared" ref="F2412" si="156">D2412+E2412</f>
        <v>2059810.29</v>
      </c>
      <c r="G2412" s="218">
        <f>C2412-D2412-E2412</f>
        <v>608279.20000000042</v>
      </c>
    </row>
    <row r="2413" spans="2:13" ht="15.75" thickBot="1" x14ac:dyDescent="0.3">
      <c r="B2413" s="214"/>
      <c r="C2413" s="215"/>
      <c r="D2413" s="234"/>
      <c r="E2413" s="213"/>
      <c r="F2413" s="213"/>
      <c r="G2413" s="219"/>
    </row>
    <row r="2414" spans="2:13" x14ac:dyDescent="0.25">
      <c r="B2414" s="214" t="s">
        <v>31</v>
      </c>
      <c r="C2414" s="215">
        <v>24899545.68</v>
      </c>
      <c r="D2414" s="216">
        <v>7370894.5599999996</v>
      </c>
      <c r="E2414" s="212">
        <f>19218031.13-D2414</f>
        <v>11847136.57</v>
      </c>
      <c r="F2414" s="212">
        <f t="shared" ref="F2414" si="157">D2414+E2414</f>
        <v>19218031.129999999</v>
      </c>
      <c r="G2414" s="218">
        <f>C2414-D2414-E2414</f>
        <v>5681514.5500000007</v>
      </c>
    </row>
    <row r="2415" spans="2:13" ht="15.75" thickBot="1" x14ac:dyDescent="0.3">
      <c r="B2415" s="214"/>
      <c r="C2415" s="215"/>
      <c r="D2415" s="234"/>
      <c r="E2415" s="213"/>
      <c r="F2415" s="213"/>
      <c r="G2415" s="219"/>
    </row>
    <row r="2416" spans="2:13" x14ac:dyDescent="0.25">
      <c r="B2416" s="214" t="s">
        <v>32</v>
      </c>
      <c r="C2416" s="215">
        <v>1508902.3</v>
      </c>
      <c r="D2416" s="216">
        <v>94280.320000000007</v>
      </c>
      <c r="E2416" s="212">
        <f>1019630.75-D2416</f>
        <v>925350.42999999993</v>
      </c>
      <c r="F2416" s="212">
        <f t="shared" ref="F2416" si="158">D2416+E2416</f>
        <v>1019630.75</v>
      </c>
      <c r="G2416" s="218">
        <f>C2416-D2416-E2416</f>
        <v>489271.55000000005</v>
      </c>
    </row>
    <row r="2417" spans="2:13" ht="15.75" thickBot="1" x14ac:dyDescent="0.3">
      <c r="B2417" s="214"/>
      <c r="C2417" s="215"/>
      <c r="D2417" s="234"/>
      <c r="E2417" s="213"/>
      <c r="F2417" s="213"/>
      <c r="G2417" s="219"/>
    </row>
    <row r="2418" spans="2:13" x14ac:dyDescent="0.25">
      <c r="B2418" s="214" t="s">
        <v>33</v>
      </c>
      <c r="C2418" s="215">
        <v>2113017.0699999998</v>
      </c>
      <c r="D2418" s="216">
        <v>1925000</v>
      </c>
      <c r="E2418" s="212">
        <f>1925000-D2418</f>
        <v>0</v>
      </c>
      <c r="F2418" s="212">
        <f t="shared" ref="F2418" si="159">D2418+E2418</f>
        <v>1925000</v>
      </c>
      <c r="G2418" s="218">
        <f>C2418-D2418-E2418</f>
        <v>188017.06999999983</v>
      </c>
    </row>
    <row r="2419" spans="2:13" ht="15.75" thickBot="1" x14ac:dyDescent="0.3">
      <c r="B2419" s="214"/>
      <c r="C2419" s="215"/>
      <c r="D2419" s="234"/>
      <c r="E2419" s="213"/>
      <c r="F2419" s="213"/>
      <c r="G2419" s="219"/>
    </row>
    <row r="2420" spans="2:13" x14ac:dyDescent="0.25">
      <c r="B2420" s="214" t="s">
        <v>34</v>
      </c>
      <c r="C2420" s="215">
        <v>0</v>
      </c>
      <c r="D2420" s="216">
        <v>0</v>
      </c>
      <c r="E2420" s="212">
        <f>-D2420</f>
        <v>0</v>
      </c>
      <c r="F2420" s="212">
        <f t="shared" ref="F2420" si="160">D2420+E2420</f>
        <v>0</v>
      </c>
      <c r="G2420" s="218">
        <f>C2420-D2420-E2420</f>
        <v>0</v>
      </c>
    </row>
    <row r="2421" spans="2:13" ht="15.75" thickBot="1" x14ac:dyDescent="0.3">
      <c r="B2421" s="214"/>
      <c r="C2421" s="215"/>
      <c r="D2421" s="234"/>
      <c r="E2421" s="213"/>
      <c r="F2421" s="213"/>
      <c r="G2421" s="219"/>
    </row>
    <row r="2422" spans="2:13" x14ac:dyDescent="0.25">
      <c r="B2422" s="214" t="s">
        <v>35</v>
      </c>
      <c r="C2422" s="215">
        <v>0</v>
      </c>
      <c r="D2422" s="216">
        <v>0</v>
      </c>
      <c r="E2422" s="212">
        <f>-D2422</f>
        <v>0</v>
      </c>
      <c r="F2422" s="212">
        <f t="shared" ref="F2422" si="161">D2422+E2422</f>
        <v>0</v>
      </c>
      <c r="G2422" s="218">
        <f>C2422-D2422-E2422</f>
        <v>0</v>
      </c>
    </row>
    <row r="2423" spans="2:13" ht="15.75" thickBot="1" x14ac:dyDescent="0.3">
      <c r="B2423" s="214"/>
      <c r="C2423" s="215"/>
      <c r="D2423" s="234"/>
      <c r="E2423" s="213"/>
      <c r="F2423" s="213"/>
      <c r="G2423" s="219"/>
    </row>
    <row r="2424" spans="2:13" ht="30.75" thickBot="1" x14ac:dyDescent="0.3">
      <c r="B2424" s="214" t="s">
        <v>36</v>
      </c>
      <c r="C2424" s="215">
        <v>0</v>
      </c>
      <c r="D2424" s="216">
        <v>0</v>
      </c>
      <c r="E2424" s="212">
        <f>-D2424</f>
        <v>0</v>
      </c>
      <c r="F2424" s="212">
        <f t="shared" ref="F2424" si="162">D2424+E2424</f>
        <v>0</v>
      </c>
      <c r="G2424" s="218">
        <f>C2424-D2424-E2424</f>
        <v>0</v>
      </c>
      <c r="H2424" s="155" t="s">
        <v>67</v>
      </c>
      <c r="I2424" s="154" t="s">
        <v>60</v>
      </c>
      <c r="J2424" s="120" t="s">
        <v>61</v>
      </c>
      <c r="K2424" s="126" t="s">
        <v>66</v>
      </c>
      <c r="L2424" s="133" t="s">
        <v>62</v>
      </c>
      <c r="M2424" s="147" t="s">
        <v>63</v>
      </c>
    </row>
    <row r="2425" spans="2:13" ht="15.75" thickBot="1" x14ac:dyDescent="0.3">
      <c r="B2425" s="220"/>
      <c r="C2425" s="221"/>
      <c r="D2425" s="244"/>
      <c r="E2425" s="213"/>
      <c r="F2425" s="213"/>
      <c r="G2425" s="219"/>
      <c r="H2425" s="62">
        <v>100</v>
      </c>
      <c r="I2425" s="63">
        <f>I2426*100/H2426</f>
        <v>30.472916942497605</v>
      </c>
      <c r="J2425" s="63">
        <f>J2426*100/H2426</f>
        <v>47.196480281891979</v>
      </c>
      <c r="K2425" s="64">
        <f>(D2426+E2426)*100/C2426</f>
        <v>77.669397224389598</v>
      </c>
      <c r="L2425" s="91">
        <f>G2426*100/C2426</f>
        <v>22.330602775610416</v>
      </c>
      <c r="M2425" s="112">
        <f>M2426*100/H2426</f>
        <v>69.527083057502381</v>
      </c>
    </row>
    <row r="2426" spans="2:13" ht="15.75" thickBot="1" x14ac:dyDescent="0.3">
      <c r="B2426" s="14" t="s">
        <v>22</v>
      </c>
      <c r="C2426" s="15">
        <f>SUM(C2410:C2425)</f>
        <v>31408353.91</v>
      </c>
      <c r="D2426" s="15">
        <f>SUM(D2410:D2424)</f>
        <v>9571041.5999999996</v>
      </c>
      <c r="E2426" s="16">
        <f>SUM(E2410:E2425)</f>
        <v>14823637.560000001</v>
      </c>
      <c r="F2426" s="16">
        <f>SUM(F2410:F2425)</f>
        <v>24394679.16</v>
      </c>
      <c r="G2426" s="46">
        <f>C2426-D2426-E2426</f>
        <v>7013674.7500000019</v>
      </c>
      <c r="H2426" s="80">
        <f>K2426+L2426</f>
        <v>31408353.910000004</v>
      </c>
      <c r="I2426" s="81">
        <f>+D2426</f>
        <v>9571041.5999999996</v>
      </c>
      <c r="J2426" s="81">
        <f>+E2426</f>
        <v>14823637.560000001</v>
      </c>
      <c r="K2426" s="82">
        <f>D2426+E2426</f>
        <v>24394679.16</v>
      </c>
      <c r="L2426" s="95">
        <f>+G2426</f>
        <v>7013674.7500000019</v>
      </c>
      <c r="M2426" s="97">
        <f>H2426-I2426</f>
        <v>21837312.310000002</v>
      </c>
    </row>
    <row r="2427" spans="2:13" ht="15.75" thickBot="1" x14ac:dyDescent="0.3">
      <c r="B2427" s="17" t="s">
        <v>23</v>
      </c>
      <c r="C2427" s="18">
        <f>C2409+C2426</f>
        <v>33528324.52</v>
      </c>
      <c r="D2427" s="19">
        <f>D2426+D2409</f>
        <v>10925418.68</v>
      </c>
      <c r="E2427" s="20">
        <f>E2409+E2426</f>
        <v>14981449.76</v>
      </c>
      <c r="F2427" s="20">
        <f>F2409+F2426</f>
        <v>25906868.440000001</v>
      </c>
      <c r="G2427" s="28">
        <f>C2427-D2427-E2427</f>
        <v>7621456.0800000001</v>
      </c>
      <c r="H2427" s="50">
        <f>+C2427</f>
        <v>33528324.52</v>
      </c>
      <c r="I2427" s="51">
        <f>+D2427</f>
        <v>10925418.68</v>
      </c>
      <c r="J2427" s="51">
        <f>+E2427</f>
        <v>14981449.76</v>
      </c>
      <c r="K2427" s="51">
        <f>I2427+J2427</f>
        <v>25906868.439999998</v>
      </c>
      <c r="L2427" s="100">
        <f>H2427-K2427</f>
        <v>7621456.0800000019</v>
      </c>
      <c r="M2427" s="136">
        <f>H2427-I2427</f>
        <v>22602905.84</v>
      </c>
    </row>
    <row r="2428" spans="2:13" ht="15.75" thickBot="1" x14ac:dyDescent="0.3">
      <c r="B2428" s="12"/>
      <c r="C2428" s="13"/>
      <c r="D2428" s="12"/>
      <c r="E2428" s="12"/>
      <c r="F2428" s="12"/>
      <c r="G2428" s="12"/>
      <c r="H2428" s="129">
        <v>100</v>
      </c>
      <c r="I2428" s="130">
        <f>I2427*100/H2427</f>
        <v>32.585638669426721</v>
      </c>
      <c r="J2428" s="130">
        <f>J2427*100/H2427</f>
        <v>44.68296574457041</v>
      </c>
      <c r="K2428" s="130">
        <f>K2427*100/H2427</f>
        <v>77.268604413997124</v>
      </c>
      <c r="L2428" s="131">
        <f>L2427*100/H2427</f>
        <v>22.731395586002883</v>
      </c>
      <c r="M2428" s="135">
        <f>M2427*100/H2427</f>
        <v>67.414361330573286</v>
      </c>
    </row>
    <row r="2429" spans="2:13" x14ac:dyDescent="0.25">
      <c r="B2429" s="12"/>
      <c r="C2429" s="13"/>
      <c r="D2429" s="12"/>
      <c r="E2429" s="12"/>
      <c r="F2429" s="12"/>
      <c r="G2429" s="12"/>
    </row>
    <row r="2430" spans="2:13" x14ac:dyDescent="0.25">
      <c r="B2430" s="12"/>
      <c r="C2430" s="13"/>
      <c r="D2430" s="12"/>
      <c r="E2430" s="12"/>
      <c r="F2430" s="12"/>
      <c r="G2430" s="12"/>
    </row>
    <row r="2431" spans="2:13" x14ac:dyDescent="0.25">
      <c r="B2431" s="12"/>
      <c r="C2431" s="13"/>
      <c r="D2431" s="12"/>
      <c r="E2431" s="12"/>
      <c r="F2431" s="12"/>
      <c r="G2431" s="12"/>
    </row>
    <row r="2432" spans="2:13" x14ac:dyDescent="0.25">
      <c r="B2432" s="12"/>
      <c r="C2432" s="13"/>
      <c r="D2432" s="12"/>
      <c r="E2432" s="12"/>
      <c r="F2432" s="12"/>
      <c r="G2432" s="12"/>
    </row>
    <row r="2433" spans="2:7" x14ac:dyDescent="0.25">
      <c r="B2433" s="12"/>
      <c r="C2433" s="13"/>
      <c r="D2433" s="12"/>
      <c r="E2433" s="12"/>
      <c r="F2433" s="12"/>
      <c r="G2433" s="12"/>
    </row>
    <row r="2434" spans="2:7" x14ac:dyDescent="0.25">
      <c r="B2434" s="12"/>
      <c r="C2434" s="13"/>
      <c r="D2434" s="12"/>
      <c r="E2434" s="12"/>
      <c r="F2434" s="12"/>
      <c r="G2434" s="12"/>
    </row>
    <row r="2435" spans="2:7" x14ac:dyDescent="0.25">
      <c r="B2435" s="12"/>
      <c r="C2435" s="13"/>
      <c r="D2435" s="12"/>
      <c r="E2435" s="12"/>
      <c r="F2435" s="12"/>
      <c r="G2435" s="12"/>
    </row>
    <row r="2436" spans="2:7" x14ac:dyDescent="0.25">
      <c r="B2436" s="12"/>
      <c r="C2436" s="13"/>
      <c r="D2436" s="12"/>
      <c r="E2436" s="12"/>
      <c r="F2436" s="12"/>
      <c r="G2436" s="12"/>
    </row>
    <row r="2437" spans="2:7" x14ac:dyDescent="0.25">
      <c r="B2437" s="12"/>
      <c r="C2437" s="13"/>
      <c r="D2437" s="12"/>
      <c r="E2437" s="12"/>
      <c r="F2437" s="12"/>
      <c r="G2437" s="12"/>
    </row>
    <row r="2438" spans="2:7" x14ac:dyDescent="0.25">
      <c r="B2438" s="12"/>
      <c r="C2438" s="13"/>
      <c r="D2438" s="12"/>
      <c r="E2438" s="12"/>
      <c r="F2438" s="12"/>
      <c r="G2438" s="12"/>
    </row>
    <row r="2439" spans="2:7" x14ac:dyDescent="0.25">
      <c r="B2439" s="12"/>
      <c r="C2439" s="13"/>
      <c r="D2439" s="12"/>
      <c r="E2439" s="12"/>
      <c r="F2439" s="12"/>
      <c r="G2439" s="12"/>
    </row>
    <row r="2440" spans="2:7" x14ac:dyDescent="0.25">
      <c r="B2440" s="12"/>
      <c r="C2440" s="13"/>
      <c r="D2440" s="12"/>
      <c r="E2440" s="12"/>
      <c r="F2440" s="12"/>
      <c r="G2440" s="12"/>
    </row>
    <row r="2441" spans="2:7" x14ac:dyDescent="0.25">
      <c r="B2441" s="12"/>
      <c r="C2441" s="13"/>
      <c r="D2441" s="12"/>
      <c r="E2441" s="12"/>
      <c r="F2441" s="12"/>
      <c r="G2441" s="12"/>
    </row>
    <row r="2442" spans="2:7" x14ac:dyDescent="0.25">
      <c r="B2442" s="12"/>
      <c r="C2442" s="13"/>
      <c r="D2442" s="12"/>
      <c r="E2442" s="12"/>
      <c r="F2442" s="12"/>
      <c r="G2442" s="12"/>
    </row>
    <row r="2443" spans="2:7" x14ac:dyDescent="0.25">
      <c r="B2443" s="12"/>
      <c r="C2443" s="13"/>
      <c r="D2443" s="12"/>
      <c r="E2443" s="12"/>
      <c r="F2443" s="12"/>
      <c r="G2443" s="12"/>
    </row>
    <row r="2444" spans="2:7" x14ac:dyDescent="0.25">
      <c r="B2444" s="12"/>
      <c r="C2444" s="13"/>
      <c r="D2444" s="12"/>
      <c r="E2444" s="12"/>
      <c r="F2444" s="12"/>
      <c r="G2444" s="12"/>
    </row>
    <row r="2445" spans="2:7" x14ac:dyDescent="0.25">
      <c r="B2445" s="12"/>
      <c r="C2445" s="13"/>
      <c r="D2445" s="12"/>
      <c r="E2445" s="12"/>
      <c r="F2445" s="12"/>
      <c r="G2445" s="12"/>
    </row>
    <row r="2446" spans="2:7" x14ac:dyDescent="0.25">
      <c r="B2446" s="225" t="s">
        <v>0</v>
      </c>
      <c r="C2446" s="225"/>
      <c r="D2446" s="225"/>
      <c r="E2446" s="225"/>
      <c r="F2446" s="225"/>
      <c r="G2446" s="225"/>
    </row>
    <row r="2447" spans="2:7" x14ac:dyDescent="0.25">
      <c r="B2447" s="225" t="s">
        <v>1</v>
      </c>
      <c r="C2447" s="225"/>
      <c r="D2447" s="225"/>
      <c r="E2447" s="225"/>
      <c r="F2447" s="225"/>
      <c r="G2447" s="225"/>
    </row>
    <row r="2448" spans="2:7" x14ac:dyDescent="0.25">
      <c r="B2448" s="225" t="s">
        <v>37</v>
      </c>
      <c r="C2448" s="225"/>
      <c r="D2448" s="225"/>
      <c r="E2448" s="225"/>
      <c r="F2448" s="225"/>
      <c r="G2448" s="225"/>
    </row>
    <row r="2449" spans="2:12" x14ac:dyDescent="0.25">
      <c r="B2449" s="225" t="s">
        <v>54</v>
      </c>
      <c r="C2449" s="225"/>
      <c r="D2449" s="225"/>
      <c r="E2449" s="225"/>
      <c r="F2449" s="225"/>
      <c r="G2449" s="225"/>
    </row>
    <row r="2450" spans="2:12" x14ac:dyDescent="0.25">
      <c r="B2450" s="225" t="s">
        <v>124</v>
      </c>
      <c r="C2450" s="225"/>
      <c r="D2450" s="225"/>
      <c r="E2450" s="225"/>
      <c r="F2450" s="225"/>
      <c r="G2450" s="225"/>
    </row>
    <row r="2451" spans="2:12" ht="15.75" thickBot="1" x14ac:dyDescent="0.3">
      <c r="B2451" s="12"/>
      <c r="C2451" s="13"/>
      <c r="D2451" s="12"/>
      <c r="E2451" s="12"/>
      <c r="F2451" s="12"/>
      <c r="G2451" s="12"/>
    </row>
    <row r="2452" spans="2:12" ht="36.75" thickBot="1" x14ac:dyDescent="0.3">
      <c r="B2452" s="185"/>
      <c r="C2452" s="184" t="s">
        <v>5</v>
      </c>
      <c r="D2452" s="161" t="s">
        <v>72</v>
      </c>
      <c r="E2452" s="172" t="s">
        <v>6</v>
      </c>
      <c r="F2452" s="161" t="s">
        <v>60</v>
      </c>
      <c r="G2452" s="172" t="s">
        <v>7</v>
      </c>
      <c r="H2452" s="180" t="s">
        <v>98</v>
      </c>
      <c r="I2452" s="172" t="s">
        <v>65</v>
      </c>
      <c r="J2452" s="180" t="s">
        <v>99</v>
      </c>
      <c r="K2452" s="177" t="s">
        <v>8</v>
      </c>
      <c r="L2452" s="181" t="s">
        <v>100</v>
      </c>
    </row>
    <row r="2453" spans="2:12" ht="15.75" thickBot="1" x14ac:dyDescent="0.3">
      <c r="B2453" s="194" t="s">
        <v>107</v>
      </c>
      <c r="C2453" s="182">
        <v>33528324.52</v>
      </c>
      <c r="D2453" s="174">
        <v>1</v>
      </c>
      <c r="E2453" s="170">
        <v>10925418.68</v>
      </c>
      <c r="F2453" s="175">
        <f>E2453/C2453</f>
        <v>0.3258563866942672</v>
      </c>
      <c r="G2453" s="170">
        <v>14981449.76</v>
      </c>
      <c r="H2453" s="175">
        <f>G2453/C2453</f>
        <v>0.44682965744570408</v>
      </c>
      <c r="I2453" s="170">
        <f>E2453+G2453</f>
        <v>25906868.439999998</v>
      </c>
      <c r="J2453" s="175">
        <f>I2453/C2453</f>
        <v>0.77268604413997122</v>
      </c>
      <c r="K2453" s="189">
        <f>C2453-I2453</f>
        <v>7621456.0800000019</v>
      </c>
      <c r="L2453" s="190">
        <f>K2453/C2453</f>
        <v>0.22731395586002881</v>
      </c>
    </row>
    <row r="2454" spans="2:12" x14ac:dyDescent="0.25">
      <c r="B2454" s="12"/>
      <c r="C2454" s="13"/>
      <c r="D2454" s="12"/>
      <c r="E2454" s="12"/>
      <c r="F2454" s="12"/>
      <c r="G2454" s="12"/>
    </row>
    <row r="2455" spans="2:12" x14ac:dyDescent="0.25">
      <c r="B2455" s="12"/>
      <c r="C2455" s="13"/>
      <c r="D2455" s="12"/>
      <c r="E2455" s="12"/>
      <c r="F2455" s="12"/>
      <c r="G2455" s="12"/>
    </row>
    <row r="2456" spans="2:12" x14ac:dyDescent="0.25">
      <c r="B2456" s="12"/>
      <c r="C2456" s="13"/>
      <c r="D2456" s="12"/>
      <c r="E2456" s="12"/>
      <c r="F2456" s="12"/>
      <c r="G2456" s="12"/>
    </row>
    <row r="2457" spans="2:12" x14ac:dyDescent="0.25">
      <c r="B2457" s="12"/>
      <c r="C2457" s="13"/>
      <c r="D2457" s="12"/>
      <c r="E2457" s="12"/>
      <c r="F2457" s="12"/>
      <c r="G2457" s="12"/>
    </row>
    <row r="2458" spans="2:12" x14ac:dyDescent="0.25">
      <c r="B2458" s="12"/>
      <c r="C2458" s="13"/>
      <c r="D2458" s="12"/>
      <c r="E2458" s="12"/>
      <c r="F2458" s="12"/>
      <c r="G2458" s="12"/>
    </row>
    <row r="2459" spans="2:12" x14ac:dyDescent="0.25">
      <c r="B2459" s="12"/>
      <c r="C2459" s="13"/>
      <c r="D2459" s="12"/>
      <c r="E2459" s="12"/>
      <c r="F2459" s="12"/>
      <c r="G2459" s="12"/>
    </row>
    <row r="2460" spans="2:12" x14ac:dyDescent="0.25">
      <c r="B2460" s="12"/>
      <c r="C2460" s="13"/>
      <c r="D2460" s="12"/>
      <c r="E2460" s="12"/>
      <c r="F2460" s="12"/>
      <c r="G2460" s="12"/>
    </row>
    <row r="2461" spans="2:12" x14ac:dyDescent="0.25">
      <c r="B2461" s="12"/>
      <c r="C2461" s="13"/>
      <c r="D2461" s="12"/>
      <c r="E2461" s="12"/>
      <c r="F2461" s="12"/>
      <c r="G2461" s="12"/>
    </row>
    <row r="2462" spans="2:12" x14ac:dyDescent="0.25">
      <c r="B2462" s="12"/>
      <c r="C2462" s="13"/>
      <c r="D2462" s="12"/>
      <c r="E2462" s="12"/>
      <c r="F2462" s="12"/>
      <c r="G2462" s="12"/>
    </row>
    <row r="2463" spans="2:12" x14ac:dyDescent="0.25">
      <c r="B2463" s="12"/>
      <c r="C2463" s="13"/>
      <c r="D2463" s="12"/>
      <c r="E2463" s="12"/>
      <c r="F2463" s="12"/>
      <c r="G2463" s="12"/>
    </row>
    <row r="2464" spans="2:12" x14ac:dyDescent="0.25">
      <c r="B2464" s="12"/>
      <c r="C2464" s="13"/>
      <c r="D2464" s="12"/>
      <c r="E2464" s="12"/>
      <c r="F2464" s="12"/>
      <c r="G2464" s="12"/>
    </row>
    <row r="2465" spans="2:7" x14ac:dyDescent="0.25">
      <c r="B2465" s="12"/>
      <c r="C2465" s="13"/>
      <c r="D2465" s="12"/>
      <c r="E2465" s="12"/>
      <c r="F2465" s="12"/>
      <c r="G2465" s="12"/>
    </row>
    <row r="2466" spans="2:7" x14ac:dyDescent="0.25">
      <c r="B2466" s="12"/>
      <c r="C2466" s="13"/>
      <c r="D2466" s="12"/>
      <c r="E2466" s="12"/>
      <c r="F2466" s="12"/>
      <c r="G2466" s="12"/>
    </row>
    <row r="2467" spans="2:7" x14ac:dyDescent="0.25">
      <c r="B2467" s="12"/>
      <c r="C2467" s="13"/>
      <c r="D2467" s="12"/>
      <c r="E2467" s="12"/>
      <c r="F2467" s="12"/>
      <c r="G2467" s="12"/>
    </row>
    <row r="2468" spans="2:7" x14ac:dyDescent="0.25">
      <c r="B2468" s="12"/>
      <c r="C2468" s="13"/>
      <c r="D2468" s="12"/>
      <c r="E2468" s="12"/>
      <c r="F2468" s="12"/>
      <c r="G2468" s="12"/>
    </row>
    <row r="2469" spans="2:7" x14ac:dyDescent="0.25">
      <c r="B2469" s="12"/>
      <c r="C2469" s="13"/>
      <c r="D2469" s="12"/>
      <c r="E2469" s="12"/>
      <c r="F2469" s="12"/>
      <c r="G2469" s="12"/>
    </row>
    <row r="2470" spans="2:7" x14ac:dyDescent="0.25">
      <c r="B2470" s="12"/>
      <c r="C2470" s="13"/>
      <c r="D2470" s="12"/>
      <c r="E2470" s="12"/>
      <c r="F2470" s="12"/>
      <c r="G2470" s="12"/>
    </row>
    <row r="2471" spans="2:7" x14ac:dyDescent="0.25">
      <c r="B2471" s="12"/>
      <c r="C2471" s="13"/>
      <c r="D2471" s="12"/>
      <c r="E2471" s="12"/>
      <c r="F2471" s="12"/>
      <c r="G2471" s="12"/>
    </row>
    <row r="2472" spans="2:7" x14ac:dyDescent="0.25">
      <c r="B2472" s="12"/>
      <c r="C2472" s="13"/>
      <c r="D2472" s="12"/>
      <c r="E2472" s="12"/>
      <c r="F2472" s="12"/>
      <c r="G2472" s="12"/>
    </row>
    <row r="2473" spans="2:7" x14ac:dyDescent="0.25">
      <c r="B2473" s="12"/>
      <c r="C2473" s="13"/>
      <c r="D2473" s="12"/>
      <c r="E2473" s="12"/>
      <c r="F2473" s="12"/>
      <c r="G2473" s="12"/>
    </row>
    <row r="2474" spans="2:7" x14ac:dyDescent="0.25">
      <c r="B2474" s="12"/>
      <c r="C2474" s="13"/>
      <c r="D2474" s="12"/>
      <c r="E2474" s="12"/>
      <c r="F2474" s="12"/>
      <c r="G2474" s="12"/>
    </row>
    <row r="2475" spans="2:7" x14ac:dyDescent="0.25">
      <c r="B2475" s="12"/>
      <c r="C2475" s="13"/>
      <c r="D2475" s="12"/>
      <c r="E2475" s="12"/>
      <c r="F2475" s="12"/>
      <c r="G2475" s="12"/>
    </row>
    <row r="2476" spans="2:7" x14ac:dyDescent="0.25">
      <c r="B2476" s="12"/>
      <c r="C2476" s="13"/>
      <c r="D2476" s="12"/>
      <c r="E2476" s="12"/>
      <c r="F2476" s="12"/>
      <c r="G2476" s="12"/>
    </row>
    <row r="2477" spans="2:7" x14ac:dyDescent="0.25">
      <c r="B2477" s="12"/>
      <c r="C2477" s="13"/>
      <c r="D2477" s="12"/>
      <c r="E2477" s="12"/>
      <c r="F2477" s="12"/>
      <c r="G2477" s="12"/>
    </row>
    <row r="2478" spans="2:7" x14ac:dyDescent="0.25">
      <c r="B2478" s="12"/>
      <c r="C2478" s="13"/>
      <c r="D2478" s="12"/>
      <c r="E2478" s="12"/>
      <c r="F2478" s="12"/>
      <c r="G2478" s="12"/>
    </row>
    <row r="2479" spans="2:7" x14ac:dyDescent="0.25">
      <c r="B2479" s="12"/>
      <c r="C2479" s="13"/>
      <c r="D2479" s="12"/>
      <c r="E2479" s="12"/>
      <c r="F2479" s="12"/>
      <c r="G2479" s="12"/>
    </row>
    <row r="2480" spans="2:7" x14ac:dyDescent="0.25">
      <c r="B2480" s="12"/>
      <c r="C2480" s="13"/>
      <c r="D2480" s="12"/>
      <c r="E2480" s="12"/>
      <c r="F2480" s="12"/>
      <c r="G2480" s="12"/>
    </row>
    <row r="2481" spans="2:7" x14ac:dyDescent="0.25">
      <c r="B2481" s="12"/>
      <c r="C2481" s="13"/>
      <c r="D2481" s="12"/>
      <c r="E2481" s="12"/>
      <c r="F2481" s="12"/>
      <c r="G2481" s="12"/>
    </row>
    <row r="2482" spans="2:7" x14ac:dyDescent="0.25">
      <c r="B2482" s="12"/>
      <c r="C2482" s="13"/>
      <c r="D2482" s="12"/>
      <c r="E2482" s="12"/>
      <c r="F2482" s="12"/>
      <c r="G2482" s="12"/>
    </row>
    <row r="2483" spans="2:7" x14ac:dyDescent="0.25">
      <c r="B2483" s="12"/>
      <c r="C2483" s="13"/>
      <c r="D2483" s="12"/>
      <c r="E2483" s="12"/>
      <c r="F2483" s="12"/>
      <c r="G2483" s="12"/>
    </row>
    <row r="2484" spans="2:7" x14ac:dyDescent="0.25">
      <c r="B2484" s="12"/>
      <c r="C2484" s="13"/>
      <c r="D2484" s="12"/>
      <c r="E2484" s="12"/>
      <c r="F2484" s="12"/>
      <c r="G2484" s="12"/>
    </row>
    <row r="2485" spans="2:7" x14ac:dyDescent="0.25">
      <c r="B2485" s="12"/>
      <c r="C2485" s="13"/>
      <c r="D2485" s="12"/>
      <c r="E2485" s="12"/>
      <c r="F2485" s="12"/>
      <c r="G2485" s="12"/>
    </row>
    <row r="2486" spans="2:7" x14ac:dyDescent="0.25">
      <c r="B2486" s="12"/>
      <c r="C2486" s="13"/>
      <c r="D2486" s="12"/>
      <c r="E2486" s="12"/>
      <c r="F2486" s="12"/>
      <c r="G2486" s="12"/>
    </row>
    <row r="2487" spans="2:7" x14ac:dyDescent="0.25">
      <c r="B2487" s="12"/>
      <c r="C2487" s="13"/>
      <c r="D2487" s="12"/>
      <c r="E2487" s="12"/>
      <c r="F2487" s="12"/>
      <c r="G2487" s="12"/>
    </row>
    <row r="2488" spans="2:7" x14ac:dyDescent="0.25">
      <c r="B2488" s="12"/>
      <c r="C2488" s="13"/>
      <c r="D2488" s="12"/>
      <c r="E2488" s="12"/>
      <c r="F2488" s="12"/>
      <c r="G2488" s="12"/>
    </row>
    <row r="2489" spans="2:7" x14ac:dyDescent="0.25">
      <c r="B2489" s="12"/>
      <c r="C2489" s="13"/>
      <c r="D2489" s="12"/>
      <c r="E2489" s="12"/>
      <c r="F2489" s="12"/>
      <c r="G2489" s="12"/>
    </row>
    <row r="2490" spans="2:7" x14ac:dyDescent="0.25">
      <c r="B2490" s="12"/>
      <c r="C2490" s="13"/>
      <c r="D2490" s="12"/>
      <c r="E2490" s="12"/>
      <c r="F2490" s="12"/>
      <c r="G2490" s="12"/>
    </row>
    <row r="2491" spans="2:7" x14ac:dyDescent="0.25">
      <c r="B2491" s="12"/>
      <c r="C2491" s="13"/>
      <c r="D2491" s="12"/>
      <c r="E2491" s="12"/>
      <c r="F2491" s="12"/>
      <c r="G2491" s="12"/>
    </row>
    <row r="2492" spans="2:7" x14ac:dyDescent="0.25">
      <c r="B2492" s="12"/>
      <c r="C2492" s="13"/>
      <c r="D2492" s="12"/>
      <c r="E2492" s="12"/>
      <c r="F2492" s="12"/>
      <c r="G2492" s="12"/>
    </row>
    <row r="2493" spans="2:7" x14ac:dyDescent="0.25">
      <c r="B2493" s="12"/>
      <c r="C2493" s="13"/>
      <c r="D2493" s="12"/>
      <c r="E2493" s="12"/>
      <c r="F2493" s="12"/>
      <c r="G2493" s="12"/>
    </row>
    <row r="2494" spans="2:7" x14ac:dyDescent="0.25">
      <c r="B2494" s="12"/>
      <c r="C2494" s="13"/>
      <c r="D2494" s="12"/>
      <c r="E2494" s="12"/>
      <c r="F2494" s="12"/>
      <c r="G2494" s="12"/>
    </row>
    <row r="2495" spans="2:7" x14ac:dyDescent="0.25">
      <c r="B2495" s="12"/>
      <c r="C2495" s="13"/>
      <c r="D2495" s="12"/>
      <c r="E2495" s="12"/>
      <c r="F2495" s="12"/>
      <c r="G2495" s="12"/>
    </row>
    <row r="2496" spans="2:7" x14ac:dyDescent="0.25">
      <c r="B2496" s="12"/>
      <c r="C2496" s="13"/>
      <c r="D2496" s="12"/>
      <c r="E2496" s="12"/>
      <c r="F2496" s="12"/>
      <c r="G2496" s="12"/>
    </row>
    <row r="2497" spans="2:7" x14ac:dyDescent="0.25">
      <c r="B2497" s="12"/>
      <c r="C2497" s="13"/>
      <c r="D2497" s="12"/>
      <c r="E2497" s="12"/>
      <c r="F2497" s="12"/>
      <c r="G2497" s="12"/>
    </row>
    <row r="2498" spans="2:7" x14ac:dyDescent="0.25">
      <c r="B2498" s="12"/>
      <c r="C2498" s="13"/>
      <c r="D2498" s="12"/>
      <c r="E2498" s="12"/>
      <c r="F2498" s="12"/>
      <c r="G2498" s="12"/>
    </row>
    <row r="2499" spans="2:7" x14ac:dyDescent="0.25">
      <c r="B2499" s="12"/>
      <c r="C2499" s="13"/>
      <c r="D2499" s="12"/>
      <c r="E2499" s="12"/>
      <c r="F2499" s="12"/>
      <c r="G2499" s="12"/>
    </row>
    <row r="2500" spans="2:7" x14ac:dyDescent="0.25">
      <c r="B2500" s="225" t="s">
        <v>0</v>
      </c>
      <c r="C2500" s="225"/>
      <c r="D2500" s="225"/>
      <c r="E2500" s="225"/>
      <c r="F2500" s="225"/>
      <c r="G2500" s="225"/>
    </row>
    <row r="2501" spans="2:7" x14ac:dyDescent="0.25">
      <c r="B2501" s="225" t="s">
        <v>1</v>
      </c>
      <c r="C2501" s="225"/>
      <c r="D2501" s="225"/>
      <c r="E2501" s="225"/>
      <c r="F2501" s="225"/>
      <c r="G2501" s="225"/>
    </row>
    <row r="2502" spans="2:7" x14ac:dyDescent="0.25">
      <c r="B2502" s="225" t="s">
        <v>37</v>
      </c>
      <c r="C2502" s="225"/>
      <c r="D2502" s="225"/>
      <c r="E2502" s="225"/>
      <c r="F2502" s="225"/>
      <c r="G2502" s="225"/>
    </row>
    <row r="2503" spans="2:7" x14ac:dyDescent="0.25">
      <c r="B2503" s="225" t="s">
        <v>55</v>
      </c>
      <c r="C2503" s="225"/>
      <c r="D2503" s="225"/>
      <c r="E2503" s="225"/>
      <c r="F2503" s="225"/>
      <c r="G2503" s="225"/>
    </row>
    <row r="2504" spans="2:7" x14ac:dyDescent="0.25">
      <c r="B2504" s="225" t="s">
        <v>124</v>
      </c>
      <c r="C2504" s="225"/>
      <c r="D2504" s="225"/>
      <c r="E2504" s="225"/>
      <c r="F2504" s="225"/>
      <c r="G2504" s="225"/>
    </row>
    <row r="2505" spans="2:7" ht="15.75" thickBot="1" x14ac:dyDescent="0.3">
      <c r="B2505" s="159"/>
      <c r="C2505" s="159"/>
      <c r="D2505" s="159"/>
      <c r="E2505" s="159"/>
      <c r="F2505" s="159"/>
      <c r="G2505" s="12"/>
    </row>
    <row r="2506" spans="2:7" ht="24.75" thickBot="1" x14ac:dyDescent="0.3">
      <c r="B2506" s="2" t="s">
        <v>4</v>
      </c>
      <c r="C2506" s="3" t="s">
        <v>5</v>
      </c>
      <c r="D2506" s="3" t="s">
        <v>6</v>
      </c>
      <c r="E2506" s="4" t="s">
        <v>7</v>
      </c>
      <c r="F2506" s="3" t="s">
        <v>65</v>
      </c>
      <c r="G2506" s="3" t="s">
        <v>8</v>
      </c>
    </row>
    <row r="2507" spans="2:7" x14ac:dyDescent="0.25">
      <c r="B2507" s="226" t="s">
        <v>25</v>
      </c>
      <c r="C2507" s="228">
        <v>583419.73</v>
      </c>
      <c r="D2507" s="245">
        <v>348110.62</v>
      </c>
      <c r="E2507" s="229">
        <f>354365.36-D2507</f>
        <v>6254.7399999999907</v>
      </c>
      <c r="F2507" s="228">
        <f>D2507+E2507</f>
        <v>354365.36</v>
      </c>
      <c r="G2507" s="228">
        <f>C2507-D2507-E2507</f>
        <v>229054.37</v>
      </c>
    </row>
    <row r="2508" spans="2:7" ht="15.75" thickBot="1" x14ac:dyDescent="0.3">
      <c r="B2508" s="227"/>
      <c r="C2508" s="215"/>
      <c r="D2508" s="234"/>
      <c r="E2508" s="230"/>
      <c r="F2508" s="215"/>
      <c r="G2508" s="215"/>
    </row>
    <row r="2509" spans="2:7" x14ac:dyDescent="0.25">
      <c r="B2509" s="231" t="s">
        <v>26</v>
      </c>
      <c r="C2509" s="215">
        <v>204289.92000000001</v>
      </c>
      <c r="D2509" s="216">
        <v>80424.13</v>
      </c>
      <c r="E2509" s="236">
        <f>111456.94-D2509</f>
        <v>31032.809999999998</v>
      </c>
      <c r="F2509" s="216">
        <f>D2509+E2509</f>
        <v>111456.94</v>
      </c>
      <c r="G2509" s="228">
        <f>C2509-D2509-E2509</f>
        <v>92832.98000000001</v>
      </c>
    </row>
    <row r="2510" spans="2:7" ht="15.75" thickBot="1" x14ac:dyDescent="0.3">
      <c r="B2510" s="231"/>
      <c r="C2510" s="215"/>
      <c r="D2510" s="234"/>
      <c r="E2510" s="263"/>
      <c r="F2510" s="217"/>
      <c r="G2510" s="215"/>
    </row>
    <row r="2511" spans="2:7" x14ac:dyDescent="0.25">
      <c r="B2511" s="231" t="s">
        <v>27</v>
      </c>
      <c r="C2511" s="215">
        <v>28295.14</v>
      </c>
      <c r="D2511" s="216">
        <v>0</v>
      </c>
      <c r="E2511" s="236">
        <f>25132.15-D2511</f>
        <v>25132.15</v>
      </c>
      <c r="F2511" s="216">
        <f t="shared" ref="F2511" si="163">D2511+E2511</f>
        <v>25132.15</v>
      </c>
      <c r="G2511" s="228">
        <f>C2511-D2511-E2511</f>
        <v>3162.989999999998</v>
      </c>
    </row>
    <row r="2512" spans="2:7" ht="15.75" thickBot="1" x14ac:dyDescent="0.3">
      <c r="B2512" s="231"/>
      <c r="C2512" s="215"/>
      <c r="D2512" s="234"/>
      <c r="E2512" s="263"/>
      <c r="F2512" s="217"/>
      <c r="G2512" s="215"/>
    </row>
    <row r="2513" spans="2:13" ht="30.75" thickBot="1" x14ac:dyDescent="0.3">
      <c r="B2513" s="231" t="s">
        <v>28</v>
      </c>
      <c r="C2513" s="215">
        <v>344.96</v>
      </c>
      <c r="D2513" s="216">
        <v>0</v>
      </c>
      <c r="E2513" s="236">
        <v>0</v>
      </c>
      <c r="F2513" s="216">
        <f t="shared" ref="F2513" si="164">D2513+E2513</f>
        <v>0</v>
      </c>
      <c r="G2513" s="228">
        <f>C2513-D2513-E2513</f>
        <v>344.96</v>
      </c>
      <c r="H2513" s="155" t="s">
        <v>67</v>
      </c>
      <c r="I2513" s="154" t="s">
        <v>60</v>
      </c>
      <c r="J2513" s="120" t="s">
        <v>61</v>
      </c>
      <c r="K2513" s="126" t="s">
        <v>66</v>
      </c>
      <c r="L2513" s="133" t="s">
        <v>62</v>
      </c>
      <c r="M2513" s="137" t="s">
        <v>63</v>
      </c>
    </row>
    <row r="2514" spans="2:13" ht="15.75" thickBot="1" x14ac:dyDescent="0.3">
      <c r="B2514" s="232"/>
      <c r="C2514" s="216"/>
      <c r="D2514" s="244"/>
      <c r="E2514" s="264"/>
      <c r="F2514" s="222"/>
      <c r="G2514" s="239"/>
      <c r="H2514" s="58">
        <v>100</v>
      </c>
      <c r="I2514" s="59">
        <f>I2515*100/H2515</f>
        <v>52.494013748396441</v>
      </c>
      <c r="J2514" s="59">
        <f>J2515*100/H2515</f>
        <v>7.6461957635192501</v>
      </c>
      <c r="K2514" s="59">
        <f>K2515*100/H2515</f>
        <v>60.140209511915693</v>
      </c>
      <c r="L2514" s="98">
        <f>L2515*100/H2515</f>
        <v>39.859790488084307</v>
      </c>
      <c r="M2514" s="97">
        <f>M2515*100/H2515</f>
        <v>47.505986251603559</v>
      </c>
    </row>
    <row r="2515" spans="2:13" ht="15.75" thickBot="1" x14ac:dyDescent="0.3">
      <c r="B2515" s="14" t="s">
        <v>13</v>
      </c>
      <c r="C2515" s="21">
        <f>SUM(C2507:C2514)</f>
        <v>816349.75</v>
      </c>
      <c r="D2515" s="21">
        <f>SUM(D2507:D2514)</f>
        <v>428534.75</v>
      </c>
      <c r="E2515" s="22">
        <f>SUM(E2507:E2514)</f>
        <v>62419.69999999999</v>
      </c>
      <c r="F2515" s="22">
        <f>SUM(F2507:F2514)</f>
        <v>490954.45</v>
      </c>
      <c r="G2515" s="46">
        <f>C2515-D2515-E2515</f>
        <v>325395.3</v>
      </c>
      <c r="H2515" s="80">
        <f>+C2515</f>
        <v>816349.75</v>
      </c>
      <c r="I2515" s="82">
        <f>+D2515</f>
        <v>428534.75</v>
      </c>
      <c r="J2515" s="82">
        <f>+E2515</f>
        <v>62419.69999999999</v>
      </c>
      <c r="K2515" s="82">
        <f>I2515+J2515</f>
        <v>490954.45</v>
      </c>
      <c r="L2515" s="95">
        <f>H2515-K2515</f>
        <v>325395.3</v>
      </c>
      <c r="M2515" s="99">
        <f>H2515-I2515</f>
        <v>387815</v>
      </c>
    </row>
    <row r="2516" spans="2:13" x14ac:dyDescent="0.25">
      <c r="B2516" s="224" t="s">
        <v>29</v>
      </c>
      <c r="C2516" s="234">
        <v>0</v>
      </c>
      <c r="D2516" s="245">
        <v>0</v>
      </c>
      <c r="E2516" s="223">
        <f>0-D2516</f>
        <v>0</v>
      </c>
      <c r="F2516" s="212">
        <f t="shared" ref="F2516" si="165">D2516+E2516</f>
        <v>0</v>
      </c>
      <c r="G2516" s="218">
        <f>C2516-D2516-E2516</f>
        <v>0</v>
      </c>
    </row>
    <row r="2517" spans="2:13" ht="15.75" thickBot="1" x14ac:dyDescent="0.3">
      <c r="B2517" s="214"/>
      <c r="C2517" s="215"/>
      <c r="D2517" s="234"/>
      <c r="E2517" s="213"/>
      <c r="F2517" s="213"/>
      <c r="G2517" s="219"/>
    </row>
    <row r="2518" spans="2:13" x14ac:dyDescent="0.25">
      <c r="B2518" s="214" t="s">
        <v>30</v>
      </c>
      <c r="C2518" s="215">
        <v>0</v>
      </c>
      <c r="D2518" s="216">
        <v>0</v>
      </c>
      <c r="E2518" s="212">
        <f>0-D2518</f>
        <v>0</v>
      </c>
      <c r="F2518" s="212">
        <f t="shared" ref="F2518" si="166">D2518+E2518</f>
        <v>0</v>
      </c>
      <c r="G2518" s="218">
        <f>C2518-D2518-E2518</f>
        <v>0</v>
      </c>
    </row>
    <row r="2519" spans="2:13" ht="15.75" thickBot="1" x14ac:dyDescent="0.3">
      <c r="B2519" s="214"/>
      <c r="C2519" s="215"/>
      <c r="D2519" s="234"/>
      <c r="E2519" s="213"/>
      <c r="F2519" s="213"/>
      <c r="G2519" s="219"/>
    </row>
    <row r="2520" spans="2:13" x14ac:dyDescent="0.25">
      <c r="B2520" s="214" t="s">
        <v>31</v>
      </c>
      <c r="C2520" s="215">
        <v>2032545.87</v>
      </c>
      <c r="D2520" s="216">
        <v>0</v>
      </c>
      <c r="E2520" s="212">
        <f>2015546.08-D2520</f>
        <v>2015546.08</v>
      </c>
      <c r="F2520" s="212">
        <f t="shared" ref="F2520" si="167">D2520+E2520</f>
        <v>2015546.08</v>
      </c>
      <c r="G2520" s="218">
        <f>C2520-D2520-E2520</f>
        <v>16999.790000000037</v>
      </c>
    </row>
    <row r="2521" spans="2:13" ht="15.75" thickBot="1" x14ac:dyDescent="0.3">
      <c r="B2521" s="214"/>
      <c r="C2521" s="215"/>
      <c r="D2521" s="234"/>
      <c r="E2521" s="213"/>
      <c r="F2521" s="213"/>
      <c r="G2521" s="219"/>
    </row>
    <row r="2522" spans="2:13" x14ac:dyDescent="0.25">
      <c r="B2522" s="214" t="s">
        <v>32</v>
      </c>
      <c r="C2522" s="215">
        <v>74849.759999999995</v>
      </c>
      <c r="D2522" s="216">
        <v>20818.84</v>
      </c>
      <c r="E2522" s="212">
        <f>61786.01-D2522</f>
        <v>40967.17</v>
      </c>
      <c r="F2522" s="212">
        <f t="shared" ref="F2522" si="168">D2522+E2522</f>
        <v>61786.009999999995</v>
      </c>
      <c r="G2522" s="218">
        <f>C2522-D2522-E2522</f>
        <v>13063.75</v>
      </c>
    </row>
    <row r="2523" spans="2:13" ht="15.75" thickBot="1" x14ac:dyDescent="0.3">
      <c r="B2523" s="214"/>
      <c r="C2523" s="215"/>
      <c r="D2523" s="234"/>
      <c r="E2523" s="213"/>
      <c r="F2523" s="213"/>
      <c r="G2523" s="219"/>
    </row>
    <row r="2524" spans="2:13" x14ac:dyDescent="0.25">
      <c r="B2524" s="214" t="s">
        <v>33</v>
      </c>
      <c r="C2524" s="215">
        <v>0</v>
      </c>
      <c r="D2524" s="216">
        <v>0</v>
      </c>
      <c r="E2524" s="212">
        <f>0-D2524</f>
        <v>0</v>
      </c>
      <c r="F2524" s="212">
        <f t="shared" ref="F2524" si="169">D2524+E2524</f>
        <v>0</v>
      </c>
      <c r="G2524" s="218">
        <f>C2524-D2524-E2524</f>
        <v>0</v>
      </c>
    </row>
    <row r="2525" spans="2:13" ht="15.75" thickBot="1" x14ac:dyDescent="0.3">
      <c r="B2525" s="214"/>
      <c r="C2525" s="215"/>
      <c r="D2525" s="234"/>
      <c r="E2525" s="213"/>
      <c r="F2525" s="213"/>
      <c r="G2525" s="219"/>
    </row>
    <row r="2526" spans="2:13" x14ac:dyDescent="0.25">
      <c r="B2526" s="214" t="s">
        <v>34</v>
      </c>
      <c r="C2526" s="215">
        <v>0</v>
      </c>
      <c r="D2526" s="216">
        <v>0</v>
      </c>
      <c r="E2526" s="212">
        <f>-D2526</f>
        <v>0</v>
      </c>
      <c r="F2526" s="212">
        <f t="shared" ref="F2526" si="170">D2526+E2526</f>
        <v>0</v>
      </c>
      <c r="G2526" s="218">
        <f>C2526-D2526-E2526</f>
        <v>0</v>
      </c>
    </row>
    <row r="2527" spans="2:13" ht="15.75" thickBot="1" x14ac:dyDescent="0.3">
      <c r="B2527" s="214"/>
      <c r="C2527" s="215"/>
      <c r="D2527" s="234"/>
      <c r="E2527" s="213"/>
      <c r="F2527" s="213"/>
      <c r="G2527" s="219"/>
    </row>
    <row r="2528" spans="2:13" x14ac:dyDescent="0.25">
      <c r="B2528" s="214" t="s">
        <v>35</v>
      </c>
      <c r="C2528" s="215">
        <v>0</v>
      </c>
      <c r="D2528" s="216">
        <v>0</v>
      </c>
      <c r="E2528" s="212">
        <f>-D2528</f>
        <v>0</v>
      </c>
      <c r="F2528" s="212">
        <f t="shared" ref="F2528" si="171">D2528+E2528</f>
        <v>0</v>
      </c>
      <c r="G2528" s="218">
        <f>C2528-D2528-E2528</f>
        <v>0</v>
      </c>
    </row>
    <row r="2529" spans="2:13" ht="15.75" thickBot="1" x14ac:dyDescent="0.3">
      <c r="B2529" s="214"/>
      <c r="C2529" s="215"/>
      <c r="D2529" s="234"/>
      <c r="E2529" s="213"/>
      <c r="F2529" s="213"/>
      <c r="G2529" s="219"/>
    </row>
    <row r="2530" spans="2:13" ht="30.75" thickBot="1" x14ac:dyDescent="0.3">
      <c r="B2530" s="214" t="s">
        <v>36</v>
      </c>
      <c r="C2530" s="215">
        <v>0</v>
      </c>
      <c r="D2530" s="216">
        <v>0</v>
      </c>
      <c r="E2530" s="212">
        <f>-D2530</f>
        <v>0</v>
      </c>
      <c r="F2530" s="212">
        <f t="shared" ref="F2530" si="172">D2530+E2530</f>
        <v>0</v>
      </c>
      <c r="G2530" s="218">
        <f>C2530-D2530-E2530</f>
        <v>0</v>
      </c>
      <c r="H2530" s="155" t="s">
        <v>67</v>
      </c>
      <c r="I2530" s="154" t="s">
        <v>60</v>
      </c>
      <c r="J2530" s="120" t="s">
        <v>61</v>
      </c>
      <c r="K2530" s="126" t="s">
        <v>66</v>
      </c>
      <c r="L2530" s="133" t="s">
        <v>62</v>
      </c>
      <c r="M2530" s="137" t="s">
        <v>63</v>
      </c>
    </row>
    <row r="2531" spans="2:13" ht="15.75" thickBot="1" x14ac:dyDescent="0.3">
      <c r="B2531" s="220"/>
      <c r="C2531" s="221"/>
      <c r="D2531" s="244"/>
      <c r="E2531" s="213"/>
      <c r="F2531" s="213"/>
      <c r="G2531" s="219"/>
      <c r="H2531" s="33">
        <v>100</v>
      </c>
      <c r="I2531" s="88">
        <f>I2532*100/H2532</f>
        <v>0.98789423796992504</v>
      </c>
      <c r="J2531" s="88">
        <f>J2532*100/H2532</f>
        <v>97.585532622557452</v>
      </c>
      <c r="K2531" s="34">
        <f>(D2532+E2532)*100/C2532</f>
        <v>98.573426860527377</v>
      </c>
      <c r="L2531" s="118">
        <f>G2532*100/C2532</f>
        <v>1.4265731394726204</v>
      </c>
      <c r="M2531" s="112">
        <f>M2532*100/H2532</f>
        <v>99.01210576203006</v>
      </c>
    </row>
    <row r="2532" spans="2:13" ht="15.75" thickBot="1" x14ac:dyDescent="0.3">
      <c r="B2532" s="14" t="s">
        <v>22</v>
      </c>
      <c r="C2532" s="15">
        <f>SUM(C2516:C2531)</f>
        <v>2107395.63</v>
      </c>
      <c r="D2532" s="15">
        <f>SUM(D2516:D2530)</f>
        <v>20818.84</v>
      </c>
      <c r="E2532" s="16">
        <f>SUM(E2516:E2531)</f>
        <v>2056513.25</v>
      </c>
      <c r="F2532" s="16">
        <f>SUM(F2516:F2531)</f>
        <v>2077332.09</v>
      </c>
      <c r="G2532" s="46">
        <f>C2532-D2532-E2532</f>
        <v>30063.539999999804</v>
      </c>
      <c r="H2532" s="77">
        <f>K2532+L2532</f>
        <v>2107395.63</v>
      </c>
      <c r="I2532" s="78">
        <f>+D2532</f>
        <v>20818.84</v>
      </c>
      <c r="J2532" s="78">
        <f>+E2532</f>
        <v>2056513.25</v>
      </c>
      <c r="K2532" s="79">
        <f>D2532+E2532</f>
        <v>2077332.09</v>
      </c>
      <c r="L2532" s="90">
        <f>+G2532</f>
        <v>30063.539999999804</v>
      </c>
      <c r="M2532" s="97">
        <f>H2532-I2532</f>
        <v>2086576.7899999998</v>
      </c>
    </row>
    <row r="2533" spans="2:13" ht="15.75" thickBot="1" x14ac:dyDescent="0.3">
      <c r="B2533" s="17" t="s">
        <v>23</v>
      </c>
      <c r="C2533" s="18">
        <f>C2515+C2532</f>
        <v>2923745.38</v>
      </c>
      <c r="D2533" s="19">
        <f>D2532+D2515</f>
        <v>449353.59</v>
      </c>
      <c r="E2533" s="20">
        <f>E2515+E2532</f>
        <v>2118932.9500000002</v>
      </c>
      <c r="F2533" s="20">
        <f>F2515+F2532</f>
        <v>2568286.54</v>
      </c>
      <c r="G2533" s="28">
        <f>C2533-D2533-E2533</f>
        <v>355458.83999999985</v>
      </c>
      <c r="H2533" s="50">
        <f>+C2533</f>
        <v>2923745.38</v>
      </c>
      <c r="I2533" s="51">
        <f>+D2533</f>
        <v>449353.59</v>
      </c>
      <c r="J2533" s="51">
        <f>+E2533</f>
        <v>2118932.9500000002</v>
      </c>
      <c r="K2533" s="51">
        <f>I2533+J2533</f>
        <v>2568286.54</v>
      </c>
      <c r="L2533" s="100">
        <f>H2533-K2533</f>
        <v>355458.83999999985</v>
      </c>
      <c r="M2533" s="97">
        <f>H2533-I2533</f>
        <v>2474391.79</v>
      </c>
    </row>
    <row r="2534" spans="2:13" ht="15.75" thickBot="1" x14ac:dyDescent="0.3">
      <c r="B2534" s="23"/>
      <c r="C2534" s="24"/>
      <c r="D2534" s="25"/>
      <c r="E2534" s="26"/>
      <c r="F2534" s="26"/>
      <c r="G2534" s="26"/>
      <c r="H2534" s="129">
        <v>100</v>
      </c>
      <c r="I2534" s="130">
        <f>I2533*100/H2533</f>
        <v>15.369108167688665</v>
      </c>
      <c r="J2534" s="130">
        <f>J2533*100/H2533</f>
        <v>72.473238076566034</v>
      </c>
      <c r="K2534" s="130">
        <f>K2533*100/H2533</f>
        <v>87.842346244254699</v>
      </c>
      <c r="L2534" s="131">
        <f>L2533*100/H2533</f>
        <v>12.157653755745306</v>
      </c>
      <c r="M2534" s="132">
        <f>M2533*100/H2533</f>
        <v>84.630891832311335</v>
      </c>
    </row>
    <row r="2535" spans="2:13" x14ac:dyDescent="0.25">
      <c r="B2535" s="23"/>
      <c r="C2535" s="24"/>
      <c r="D2535" s="25"/>
      <c r="E2535" s="26"/>
      <c r="F2535" s="26"/>
      <c r="G2535" s="26"/>
    </row>
    <row r="2536" spans="2:13" x14ac:dyDescent="0.25">
      <c r="B2536" s="23"/>
      <c r="C2536" s="24"/>
      <c r="D2536" s="25"/>
      <c r="E2536" s="26"/>
      <c r="F2536" s="26"/>
      <c r="G2536" s="26"/>
    </row>
    <row r="2537" spans="2:13" x14ac:dyDescent="0.25">
      <c r="B2537" s="23"/>
      <c r="C2537" s="24"/>
      <c r="D2537" s="25"/>
      <c r="E2537" s="26"/>
      <c r="F2537" s="26"/>
      <c r="G2537" s="26"/>
    </row>
    <row r="2538" spans="2:13" x14ac:dyDescent="0.25">
      <c r="B2538" s="23"/>
      <c r="C2538" s="24"/>
      <c r="D2538" s="25"/>
      <c r="E2538" s="26"/>
      <c r="F2538" s="26"/>
      <c r="G2538" s="26"/>
    </row>
    <row r="2539" spans="2:13" x14ac:dyDescent="0.25">
      <c r="B2539" s="23"/>
      <c r="C2539" s="24"/>
      <c r="D2539" s="25"/>
      <c r="E2539" s="26"/>
      <c r="F2539" s="26"/>
      <c r="G2539" s="26"/>
    </row>
    <row r="2540" spans="2:13" x14ac:dyDescent="0.25">
      <c r="B2540" s="23"/>
      <c r="C2540" s="24"/>
      <c r="D2540" s="25"/>
      <c r="E2540" s="26"/>
      <c r="F2540" s="26"/>
      <c r="G2540" s="26"/>
    </row>
    <row r="2541" spans="2:13" x14ac:dyDescent="0.25">
      <c r="B2541" s="23"/>
      <c r="C2541" s="24"/>
      <c r="D2541" s="25"/>
      <c r="E2541" s="26"/>
      <c r="F2541" s="26"/>
      <c r="G2541" s="26"/>
    </row>
    <row r="2542" spans="2:13" x14ac:dyDescent="0.25">
      <c r="B2542" s="23"/>
      <c r="C2542" s="24"/>
      <c r="D2542" s="25"/>
      <c r="E2542" s="26"/>
      <c r="F2542" s="26"/>
      <c r="G2542" s="26"/>
    </row>
    <row r="2543" spans="2:13" x14ac:dyDescent="0.25">
      <c r="B2543" s="23"/>
      <c r="C2543" s="24"/>
      <c r="D2543" s="25"/>
      <c r="E2543" s="26"/>
      <c r="F2543" s="26"/>
      <c r="G2543" s="26"/>
    </row>
    <row r="2544" spans="2:13" x14ac:dyDescent="0.25">
      <c r="B2544" s="23"/>
      <c r="C2544" s="24"/>
      <c r="D2544" s="25"/>
      <c r="E2544" s="26"/>
      <c r="F2544" s="26"/>
      <c r="G2544" s="26"/>
    </row>
    <row r="2545" spans="2:12" x14ac:dyDescent="0.25">
      <c r="B2545" s="23"/>
      <c r="C2545" s="24"/>
      <c r="D2545" s="25"/>
      <c r="E2545" s="26"/>
      <c r="F2545" s="26"/>
      <c r="G2545" s="26"/>
    </row>
    <row r="2546" spans="2:12" x14ac:dyDescent="0.25">
      <c r="B2546" s="23"/>
      <c r="C2546" s="24"/>
      <c r="D2546" s="25"/>
      <c r="E2546" s="26"/>
      <c r="F2546" s="26"/>
      <c r="G2546" s="26"/>
    </row>
    <row r="2547" spans="2:12" x14ac:dyDescent="0.25">
      <c r="B2547" s="23"/>
      <c r="C2547" s="24"/>
      <c r="D2547" s="25"/>
      <c r="E2547" s="26"/>
      <c r="F2547" s="26"/>
      <c r="G2547" s="26"/>
    </row>
    <row r="2548" spans="2:12" x14ac:dyDescent="0.25">
      <c r="B2548" s="23"/>
      <c r="C2548" s="24"/>
      <c r="D2548" s="25"/>
      <c r="E2548" s="26"/>
      <c r="F2548" s="26"/>
      <c r="G2548" s="26"/>
    </row>
    <row r="2549" spans="2:12" x14ac:dyDescent="0.25">
      <c r="B2549" s="23"/>
      <c r="C2549" s="24"/>
      <c r="D2549" s="25"/>
      <c r="E2549" s="26"/>
      <c r="F2549" s="26"/>
      <c r="G2549" s="26"/>
    </row>
    <row r="2550" spans="2:12" x14ac:dyDescent="0.25">
      <c r="B2550" s="23"/>
      <c r="C2550" s="24"/>
      <c r="D2550" s="25"/>
      <c r="E2550" s="26"/>
      <c r="F2550" s="26"/>
      <c r="G2550" s="26"/>
    </row>
    <row r="2551" spans="2:12" x14ac:dyDescent="0.25">
      <c r="B2551" s="23"/>
      <c r="C2551" s="24"/>
      <c r="D2551" s="25"/>
      <c r="E2551" s="26"/>
      <c r="F2551" s="26"/>
      <c r="G2551" s="26"/>
    </row>
    <row r="2552" spans="2:12" x14ac:dyDescent="0.25">
      <c r="B2552" s="225" t="s">
        <v>0</v>
      </c>
      <c r="C2552" s="225"/>
      <c r="D2552" s="225"/>
      <c r="E2552" s="225"/>
      <c r="F2552" s="225"/>
      <c r="G2552" s="225"/>
    </row>
    <row r="2553" spans="2:12" x14ac:dyDescent="0.25">
      <c r="B2553" s="225" t="s">
        <v>1</v>
      </c>
      <c r="C2553" s="225"/>
      <c r="D2553" s="225"/>
      <c r="E2553" s="225"/>
      <c r="F2553" s="225"/>
      <c r="G2553" s="225"/>
    </row>
    <row r="2554" spans="2:12" x14ac:dyDescent="0.25">
      <c r="B2554" s="225" t="s">
        <v>37</v>
      </c>
      <c r="C2554" s="225"/>
      <c r="D2554" s="225"/>
      <c r="E2554" s="225"/>
      <c r="F2554" s="225"/>
      <c r="G2554" s="225"/>
    </row>
    <row r="2555" spans="2:12" x14ac:dyDescent="0.25">
      <c r="B2555" s="225" t="s">
        <v>55</v>
      </c>
      <c r="C2555" s="225"/>
      <c r="D2555" s="225"/>
      <c r="E2555" s="225"/>
      <c r="F2555" s="225"/>
      <c r="G2555" s="225"/>
    </row>
    <row r="2556" spans="2:12" x14ac:dyDescent="0.25">
      <c r="B2556" s="225" t="s">
        <v>124</v>
      </c>
      <c r="C2556" s="225"/>
      <c r="D2556" s="225"/>
      <c r="E2556" s="225"/>
      <c r="F2556" s="225"/>
      <c r="G2556" s="225"/>
    </row>
    <row r="2557" spans="2:12" ht="15.75" thickBot="1" x14ac:dyDescent="0.3">
      <c r="B2557" s="23"/>
      <c r="C2557" s="24"/>
      <c r="D2557" s="25"/>
      <c r="E2557" s="26"/>
      <c r="F2557" s="26"/>
      <c r="G2557" s="26"/>
    </row>
    <row r="2558" spans="2:12" ht="36.75" thickBot="1" x14ac:dyDescent="0.3">
      <c r="B2558" s="197"/>
      <c r="C2558" s="184" t="s">
        <v>5</v>
      </c>
      <c r="D2558" s="161" t="s">
        <v>72</v>
      </c>
      <c r="E2558" s="172" t="s">
        <v>6</v>
      </c>
      <c r="F2558" s="161" t="s">
        <v>60</v>
      </c>
      <c r="G2558" s="172" t="s">
        <v>7</v>
      </c>
      <c r="H2558" s="180" t="s">
        <v>98</v>
      </c>
      <c r="I2558" s="172" t="s">
        <v>65</v>
      </c>
      <c r="J2558" s="180" t="s">
        <v>99</v>
      </c>
      <c r="K2558" s="177" t="s">
        <v>8</v>
      </c>
      <c r="L2558" s="181" t="s">
        <v>100</v>
      </c>
    </row>
    <row r="2559" spans="2:12" ht="15.75" thickBot="1" x14ac:dyDescent="0.3">
      <c r="B2559" s="194" t="s">
        <v>106</v>
      </c>
      <c r="C2559" s="182">
        <v>2923745.38</v>
      </c>
      <c r="D2559" s="174">
        <v>1</v>
      </c>
      <c r="E2559" s="170">
        <v>449353.59</v>
      </c>
      <c r="F2559" s="175">
        <f>E2559/C2559</f>
        <v>0.15369108167688666</v>
      </c>
      <c r="G2559" s="170">
        <v>2118932.9500000002</v>
      </c>
      <c r="H2559" s="175">
        <f>G2559/C2559</f>
        <v>0.72473238076566038</v>
      </c>
      <c r="I2559" s="170">
        <f>E2559+G2559</f>
        <v>2568286.54</v>
      </c>
      <c r="J2559" s="175">
        <f>I2559/C2559</f>
        <v>0.87842346244254699</v>
      </c>
      <c r="K2559" s="189">
        <f>C2559-I2559</f>
        <v>355458.83999999985</v>
      </c>
      <c r="L2559" s="190">
        <f>K2559/C2559</f>
        <v>0.12157653755745305</v>
      </c>
    </row>
    <row r="2560" spans="2:12" x14ac:dyDescent="0.25">
      <c r="B2560" s="23"/>
      <c r="C2560" s="24"/>
      <c r="D2560" s="25"/>
      <c r="E2560" s="26"/>
      <c r="F2560" s="26"/>
      <c r="G2560" s="26"/>
    </row>
    <row r="2561" spans="2:7" x14ac:dyDescent="0.25">
      <c r="B2561" s="23"/>
      <c r="C2561" s="24"/>
      <c r="D2561" s="25"/>
      <c r="E2561" s="26"/>
      <c r="F2561" s="26"/>
      <c r="G2561" s="26"/>
    </row>
    <row r="2562" spans="2:7" x14ac:dyDescent="0.25">
      <c r="B2562" s="23"/>
      <c r="C2562" s="24"/>
      <c r="D2562" s="25"/>
      <c r="E2562" s="26"/>
      <c r="F2562" s="26"/>
      <c r="G2562" s="26"/>
    </row>
    <row r="2563" spans="2:7" x14ac:dyDescent="0.25">
      <c r="B2563" s="23"/>
      <c r="C2563" s="24"/>
      <c r="D2563" s="25"/>
      <c r="E2563" s="26"/>
      <c r="F2563" s="26"/>
      <c r="G2563" s="26"/>
    </row>
    <row r="2564" spans="2:7" x14ac:dyDescent="0.25">
      <c r="B2564" s="23"/>
      <c r="C2564" s="24"/>
      <c r="D2564" s="25"/>
      <c r="E2564" s="26"/>
      <c r="F2564" s="26"/>
      <c r="G2564" s="26"/>
    </row>
    <row r="2565" spans="2:7" x14ac:dyDescent="0.25">
      <c r="B2565" s="23"/>
      <c r="C2565" s="24"/>
      <c r="D2565" s="25"/>
      <c r="E2565" s="26"/>
      <c r="F2565" s="26"/>
      <c r="G2565" s="26"/>
    </row>
    <row r="2566" spans="2:7" x14ac:dyDescent="0.25">
      <c r="B2566" s="23"/>
      <c r="C2566" s="24"/>
      <c r="D2566" s="25"/>
      <c r="E2566" s="26"/>
      <c r="F2566" s="26"/>
      <c r="G2566" s="26"/>
    </row>
    <row r="2567" spans="2:7" x14ac:dyDescent="0.25">
      <c r="B2567" s="23"/>
      <c r="C2567" s="24"/>
      <c r="D2567" s="25"/>
      <c r="E2567" s="26"/>
      <c r="F2567" s="26"/>
      <c r="G2567" s="26"/>
    </row>
    <row r="2568" spans="2:7" x14ac:dyDescent="0.25">
      <c r="B2568" s="23"/>
      <c r="C2568" s="24"/>
      <c r="D2568" s="25"/>
      <c r="E2568" s="26"/>
      <c r="F2568" s="26"/>
      <c r="G2568" s="26"/>
    </row>
    <row r="2569" spans="2:7" x14ac:dyDescent="0.25">
      <c r="B2569" s="23"/>
      <c r="C2569" s="24"/>
      <c r="D2569" s="25"/>
      <c r="E2569" s="26"/>
      <c r="F2569" s="26"/>
      <c r="G2569" s="26"/>
    </row>
    <row r="2570" spans="2:7" x14ac:dyDescent="0.25">
      <c r="B2570" s="23"/>
      <c r="C2570" s="24"/>
      <c r="D2570" s="25"/>
      <c r="E2570" s="26"/>
      <c r="F2570" s="26"/>
      <c r="G2570" s="26"/>
    </row>
    <row r="2571" spans="2:7" x14ac:dyDescent="0.25">
      <c r="B2571" s="23"/>
      <c r="C2571" s="24"/>
      <c r="D2571" s="25"/>
      <c r="E2571" s="26"/>
      <c r="F2571" s="26"/>
      <c r="G2571" s="26"/>
    </row>
    <row r="2572" spans="2:7" x14ac:dyDescent="0.25">
      <c r="B2572" s="23"/>
      <c r="C2572" s="24"/>
      <c r="D2572" s="25"/>
      <c r="E2572" s="26"/>
      <c r="F2572" s="26"/>
      <c r="G2572" s="26"/>
    </row>
    <row r="2573" spans="2:7" x14ac:dyDescent="0.25">
      <c r="B2573" s="23"/>
      <c r="C2573" s="24"/>
      <c r="D2573" s="25"/>
      <c r="E2573" s="26"/>
      <c r="F2573" s="26"/>
      <c r="G2573" s="26"/>
    </row>
    <row r="2574" spans="2:7" x14ac:dyDescent="0.25">
      <c r="B2574" s="23"/>
      <c r="C2574" s="24"/>
      <c r="D2574" s="25"/>
      <c r="E2574" s="26"/>
      <c r="F2574" s="26"/>
      <c r="G2574" s="26"/>
    </row>
    <row r="2575" spans="2:7" x14ac:dyDescent="0.25">
      <c r="B2575" s="23"/>
      <c r="C2575" s="24"/>
      <c r="D2575" s="25"/>
      <c r="E2575" s="26"/>
      <c r="F2575" s="26"/>
      <c r="G2575" s="26"/>
    </row>
    <row r="2576" spans="2:7" x14ac:dyDescent="0.25">
      <c r="B2576" s="23"/>
      <c r="C2576" s="24"/>
      <c r="D2576" s="25"/>
      <c r="E2576" s="26"/>
      <c r="F2576" s="26"/>
      <c r="G2576" s="26"/>
    </row>
    <row r="2577" spans="2:7" x14ac:dyDescent="0.25">
      <c r="B2577" s="23"/>
      <c r="C2577" s="24"/>
      <c r="D2577" s="25"/>
      <c r="E2577" s="26"/>
      <c r="F2577" s="26"/>
      <c r="G2577" s="26"/>
    </row>
    <row r="2578" spans="2:7" x14ac:dyDescent="0.25">
      <c r="B2578" s="23"/>
      <c r="C2578" s="24"/>
      <c r="D2578" s="25"/>
      <c r="E2578" s="26"/>
      <c r="F2578" s="26"/>
      <c r="G2578" s="26"/>
    </row>
    <row r="2579" spans="2:7" x14ac:dyDescent="0.25">
      <c r="B2579" s="23"/>
      <c r="C2579" s="24"/>
      <c r="D2579" s="25"/>
      <c r="E2579" s="26"/>
      <c r="F2579" s="26"/>
      <c r="G2579" s="26"/>
    </row>
    <row r="2580" spans="2:7" x14ac:dyDescent="0.25">
      <c r="B2580" s="23"/>
      <c r="C2580" s="24"/>
      <c r="D2580" s="25"/>
      <c r="E2580" s="26"/>
      <c r="F2580" s="26"/>
      <c r="G2580" s="26"/>
    </row>
    <row r="2581" spans="2:7" x14ac:dyDescent="0.25">
      <c r="B2581" s="23"/>
      <c r="C2581" s="24"/>
      <c r="D2581" s="25"/>
      <c r="E2581" s="26"/>
      <c r="F2581" s="26"/>
      <c r="G2581" s="26"/>
    </row>
    <row r="2582" spans="2:7" x14ac:dyDescent="0.25">
      <c r="B2582" s="23"/>
      <c r="C2582" s="24"/>
      <c r="D2582" s="25"/>
      <c r="E2582" s="26"/>
      <c r="F2582" s="26"/>
      <c r="G2582" s="26"/>
    </row>
    <row r="2583" spans="2:7" x14ac:dyDescent="0.25">
      <c r="B2583" s="23"/>
      <c r="C2583" s="24"/>
      <c r="D2583" s="25"/>
      <c r="E2583" s="26"/>
      <c r="F2583" s="26"/>
      <c r="G2583" s="26"/>
    </row>
    <row r="2584" spans="2:7" x14ac:dyDescent="0.25">
      <c r="B2584" s="23"/>
      <c r="C2584" s="24"/>
      <c r="D2584" s="25"/>
      <c r="E2584" s="26"/>
      <c r="F2584" s="26"/>
      <c r="G2584" s="26"/>
    </row>
    <row r="2585" spans="2:7" x14ac:dyDescent="0.25">
      <c r="B2585" s="23"/>
      <c r="C2585" s="24"/>
      <c r="D2585" s="25"/>
      <c r="E2585" s="26"/>
      <c r="F2585" s="26"/>
      <c r="G2585" s="26"/>
    </row>
    <row r="2586" spans="2:7" x14ac:dyDescent="0.25">
      <c r="B2586" s="23"/>
      <c r="C2586" s="24"/>
      <c r="D2586" s="25"/>
      <c r="E2586" s="26"/>
      <c r="F2586" s="26"/>
      <c r="G2586" s="26"/>
    </row>
    <row r="2587" spans="2:7" x14ac:dyDescent="0.25">
      <c r="B2587" s="23"/>
      <c r="C2587" s="24"/>
      <c r="D2587" s="25"/>
      <c r="E2587" s="26"/>
      <c r="F2587" s="26"/>
      <c r="G2587" s="26"/>
    </row>
    <row r="2588" spans="2:7" x14ac:dyDescent="0.25">
      <c r="B2588" s="23"/>
      <c r="C2588" s="24"/>
      <c r="D2588" s="25"/>
      <c r="E2588" s="26"/>
      <c r="F2588" s="26"/>
      <c r="G2588" s="26"/>
    </row>
    <row r="2589" spans="2:7" x14ac:dyDescent="0.25">
      <c r="B2589" s="23"/>
      <c r="C2589" s="24"/>
      <c r="D2589" s="25"/>
      <c r="E2589" s="26"/>
      <c r="F2589" s="26"/>
      <c r="G2589" s="26"/>
    </row>
    <row r="2590" spans="2:7" x14ac:dyDescent="0.25">
      <c r="B2590" s="23"/>
      <c r="C2590" s="24"/>
      <c r="D2590" s="25"/>
      <c r="E2590" s="26"/>
      <c r="F2590" s="26"/>
      <c r="G2590" s="26"/>
    </row>
    <row r="2591" spans="2:7" x14ac:dyDescent="0.25">
      <c r="B2591" s="23"/>
      <c r="C2591" s="24"/>
      <c r="D2591" s="25"/>
      <c r="E2591" s="26"/>
      <c r="F2591" s="26"/>
      <c r="G2591" s="26"/>
    </row>
    <row r="2592" spans="2:7" x14ac:dyDescent="0.25">
      <c r="B2592" s="23"/>
      <c r="C2592" s="24"/>
      <c r="D2592" s="25"/>
      <c r="E2592" s="26"/>
      <c r="F2592" s="26"/>
      <c r="G2592" s="26"/>
    </row>
    <row r="2593" spans="2:7" x14ac:dyDescent="0.25">
      <c r="B2593" s="23"/>
      <c r="C2593" s="24"/>
      <c r="D2593" s="25"/>
      <c r="E2593" s="26"/>
      <c r="F2593" s="26"/>
      <c r="G2593" s="26"/>
    </row>
    <row r="2594" spans="2:7" x14ac:dyDescent="0.25">
      <c r="B2594" s="23"/>
      <c r="C2594" s="24"/>
      <c r="D2594" s="25"/>
      <c r="E2594" s="26"/>
      <c r="F2594" s="26"/>
      <c r="G2594" s="26"/>
    </row>
    <row r="2595" spans="2:7" x14ac:dyDescent="0.25">
      <c r="B2595" s="23"/>
      <c r="C2595" s="24"/>
      <c r="D2595" s="25"/>
      <c r="E2595" s="26"/>
      <c r="F2595" s="26"/>
      <c r="G2595" s="26"/>
    </row>
    <row r="2596" spans="2:7" x14ac:dyDescent="0.25">
      <c r="B2596" s="23"/>
      <c r="C2596" s="24"/>
      <c r="D2596" s="25"/>
      <c r="E2596" s="26"/>
      <c r="F2596" s="26"/>
      <c r="G2596" s="26"/>
    </row>
    <row r="2597" spans="2:7" x14ac:dyDescent="0.25">
      <c r="B2597" s="23"/>
      <c r="C2597" s="24"/>
      <c r="D2597" s="25"/>
      <c r="E2597" s="26"/>
      <c r="F2597" s="26"/>
      <c r="G2597" s="26"/>
    </row>
    <row r="2598" spans="2:7" x14ac:dyDescent="0.25">
      <c r="B2598" s="23"/>
      <c r="C2598" s="24"/>
      <c r="D2598" s="25"/>
      <c r="E2598" s="26"/>
      <c r="F2598" s="26"/>
      <c r="G2598" s="26"/>
    </row>
    <row r="2599" spans="2:7" x14ac:dyDescent="0.25">
      <c r="B2599" s="23"/>
      <c r="C2599" s="24"/>
      <c r="D2599" s="25"/>
      <c r="E2599" s="26"/>
      <c r="F2599" s="26"/>
      <c r="G2599" s="26"/>
    </row>
    <row r="2600" spans="2:7" x14ac:dyDescent="0.25">
      <c r="B2600" s="23"/>
      <c r="C2600" s="24"/>
      <c r="D2600" s="25"/>
      <c r="E2600" s="26"/>
      <c r="F2600" s="26"/>
      <c r="G2600" s="26"/>
    </row>
    <row r="2601" spans="2:7" x14ac:dyDescent="0.25">
      <c r="B2601" s="23"/>
      <c r="C2601" s="24"/>
      <c r="D2601" s="25"/>
      <c r="E2601" s="26"/>
      <c r="F2601" s="26"/>
      <c r="G2601" s="26"/>
    </row>
    <row r="2602" spans="2:7" x14ac:dyDescent="0.25">
      <c r="B2602" s="23"/>
      <c r="C2602" s="24"/>
      <c r="D2602" s="25"/>
      <c r="E2602" s="26"/>
      <c r="F2602" s="26"/>
      <c r="G2602" s="26"/>
    </row>
    <row r="2603" spans="2:7" x14ac:dyDescent="0.25">
      <c r="B2603" s="23"/>
      <c r="C2603" s="24"/>
      <c r="D2603" s="25"/>
      <c r="E2603" s="26"/>
      <c r="F2603" s="26"/>
      <c r="G2603" s="26"/>
    </row>
    <row r="2604" spans="2:7" x14ac:dyDescent="0.25">
      <c r="B2604" s="23"/>
      <c r="C2604" s="24"/>
      <c r="D2604" s="25"/>
      <c r="E2604" s="26"/>
      <c r="F2604" s="26"/>
      <c r="G2604" s="26"/>
    </row>
    <row r="2605" spans="2:7" x14ac:dyDescent="0.25">
      <c r="B2605" s="23"/>
      <c r="C2605" s="24"/>
      <c r="D2605" s="25"/>
      <c r="E2605" s="26"/>
      <c r="F2605" s="26"/>
      <c r="G2605" s="26"/>
    </row>
    <row r="2606" spans="2:7" x14ac:dyDescent="0.25">
      <c r="B2606" s="225" t="s">
        <v>0</v>
      </c>
      <c r="C2606" s="225"/>
      <c r="D2606" s="225"/>
      <c r="E2606" s="225"/>
      <c r="F2606" s="225"/>
      <c r="G2606" s="225"/>
    </row>
    <row r="2607" spans="2:7" x14ac:dyDescent="0.25">
      <c r="B2607" s="225" t="s">
        <v>1</v>
      </c>
      <c r="C2607" s="225"/>
      <c r="D2607" s="225"/>
      <c r="E2607" s="225"/>
      <c r="F2607" s="225"/>
      <c r="G2607" s="225"/>
    </row>
    <row r="2608" spans="2:7" x14ac:dyDescent="0.25">
      <c r="B2608" s="225" t="s">
        <v>37</v>
      </c>
      <c r="C2608" s="225"/>
      <c r="D2608" s="225"/>
      <c r="E2608" s="225"/>
      <c r="F2608" s="225"/>
      <c r="G2608" s="225"/>
    </row>
    <row r="2609" spans="2:13" x14ac:dyDescent="0.25">
      <c r="B2609" s="225" t="s">
        <v>58</v>
      </c>
      <c r="C2609" s="225"/>
      <c r="D2609" s="225"/>
      <c r="E2609" s="225"/>
      <c r="F2609" s="225"/>
      <c r="G2609" s="225"/>
    </row>
    <row r="2610" spans="2:13" x14ac:dyDescent="0.25">
      <c r="B2610" s="225" t="s">
        <v>124</v>
      </c>
      <c r="C2610" s="225"/>
      <c r="D2610" s="225"/>
      <c r="E2610" s="225"/>
      <c r="F2610" s="225"/>
      <c r="G2610" s="225"/>
    </row>
    <row r="2611" spans="2:13" ht="15.75" thickBot="1" x14ac:dyDescent="0.3">
      <c r="B2611" s="159"/>
      <c r="C2611" s="159"/>
      <c r="D2611" s="159"/>
      <c r="E2611" s="159"/>
      <c r="F2611" s="159"/>
      <c r="G2611" s="12"/>
    </row>
    <row r="2612" spans="2:13" ht="24.75" thickBot="1" x14ac:dyDescent="0.3">
      <c r="B2612" s="2" t="s">
        <v>4</v>
      </c>
      <c r="C2612" s="3" t="s">
        <v>5</v>
      </c>
      <c r="D2612" s="3" t="s">
        <v>6</v>
      </c>
      <c r="E2612" s="4" t="s">
        <v>7</v>
      </c>
      <c r="F2612" s="3" t="s">
        <v>65</v>
      </c>
      <c r="G2612" s="3" t="s">
        <v>8</v>
      </c>
    </row>
    <row r="2613" spans="2:13" x14ac:dyDescent="0.25">
      <c r="B2613" s="226" t="s">
        <v>25</v>
      </c>
      <c r="C2613" s="228">
        <v>24677.919999999998</v>
      </c>
      <c r="D2613" s="245">
        <v>22590.01</v>
      </c>
      <c r="E2613" s="229">
        <f>23717.32-D2613</f>
        <v>1127.3100000000013</v>
      </c>
      <c r="F2613" s="228">
        <f>D2613+E2613</f>
        <v>23717.32</v>
      </c>
      <c r="G2613" s="228">
        <f>C2613-D2613-E2613</f>
        <v>960.59999999999854</v>
      </c>
    </row>
    <row r="2614" spans="2:13" ht="15.75" thickBot="1" x14ac:dyDescent="0.3">
      <c r="B2614" s="227"/>
      <c r="C2614" s="215"/>
      <c r="D2614" s="234"/>
      <c r="E2614" s="230"/>
      <c r="F2614" s="215"/>
      <c r="G2614" s="215"/>
    </row>
    <row r="2615" spans="2:13" x14ac:dyDescent="0.25">
      <c r="B2615" s="231" t="s">
        <v>26</v>
      </c>
      <c r="C2615" s="215">
        <v>5800</v>
      </c>
      <c r="D2615" s="216">
        <v>717</v>
      </c>
      <c r="E2615" s="236">
        <f>1263.33-D2615</f>
        <v>546.32999999999993</v>
      </c>
      <c r="F2615" s="216">
        <f>D2615+E2615</f>
        <v>1263.33</v>
      </c>
      <c r="G2615" s="228">
        <f>C2615-D2615-E2615</f>
        <v>4536.67</v>
      </c>
    </row>
    <row r="2616" spans="2:13" ht="15.75" thickBot="1" x14ac:dyDescent="0.3">
      <c r="B2616" s="231"/>
      <c r="C2616" s="215"/>
      <c r="D2616" s="234"/>
      <c r="E2616" s="263"/>
      <c r="F2616" s="217"/>
      <c r="G2616" s="215"/>
    </row>
    <row r="2617" spans="2:13" x14ac:dyDescent="0.25">
      <c r="B2617" s="231" t="s">
        <v>27</v>
      </c>
      <c r="C2617" s="215">
        <v>0</v>
      </c>
      <c r="D2617" s="216">
        <v>0</v>
      </c>
      <c r="E2617" s="236">
        <f>0-D2617</f>
        <v>0</v>
      </c>
      <c r="F2617" s="216">
        <f t="shared" ref="F2617" si="173">D2617+E2617</f>
        <v>0</v>
      </c>
      <c r="G2617" s="228">
        <f>C2617-D2617-E2617</f>
        <v>0</v>
      </c>
    </row>
    <row r="2618" spans="2:13" ht="15.75" thickBot="1" x14ac:dyDescent="0.3">
      <c r="B2618" s="231"/>
      <c r="C2618" s="215"/>
      <c r="D2618" s="234"/>
      <c r="E2618" s="263"/>
      <c r="F2618" s="217"/>
      <c r="G2618" s="215"/>
    </row>
    <row r="2619" spans="2:13" ht="30.75" thickBot="1" x14ac:dyDescent="0.3">
      <c r="B2619" s="231" t="s">
        <v>28</v>
      </c>
      <c r="C2619" s="215">
        <v>0</v>
      </c>
      <c r="D2619" s="216">
        <v>0</v>
      </c>
      <c r="E2619" s="236">
        <v>0</v>
      </c>
      <c r="F2619" s="216">
        <f t="shared" ref="F2619" si="174">D2619+E2619</f>
        <v>0</v>
      </c>
      <c r="G2619" s="228">
        <f>C2619-D2619-E2619</f>
        <v>0</v>
      </c>
      <c r="H2619" s="155" t="s">
        <v>67</v>
      </c>
      <c r="I2619" s="154" t="s">
        <v>60</v>
      </c>
      <c r="J2619" s="120" t="s">
        <v>61</v>
      </c>
      <c r="K2619" s="126" t="s">
        <v>66</v>
      </c>
      <c r="L2619" s="133" t="s">
        <v>62</v>
      </c>
      <c r="M2619" s="137" t="s">
        <v>63</v>
      </c>
    </row>
    <row r="2620" spans="2:13" ht="15.75" thickBot="1" x14ac:dyDescent="0.3">
      <c r="B2620" s="232"/>
      <c r="C2620" s="216"/>
      <c r="D2620" s="244"/>
      <c r="E2620" s="264"/>
      <c r="F2620" s="222"/>
      <c r="G2620" s="239"/>
      <c r="H2620" s="58">
        <v>100</v>
      </c>
      <c r="I2620" s="59">
        <f>I2621*100/H2621</f>
        <v>76.471786788599758</v>
      </c>
      <c r="J2620" s="59">
        <f>J2621*100/H2621</f>
        <v>5.4913196176117047</v>
      </c>
      <c r="K2620" s="59">
        <f>K2621*100/H2621</f>
        <v>81.963106406211452</v>
      </c>
      <c r="L2620" s="98">
        <f>L2621*100/H2621</f>
        <v>18.036893593788541</v>
      </c>
      <c r="M2620" s="112">
        <f>M2621*100/H2621</f>
        <v>23.528213211400253</v>
      </c>
    </row>
    <row r="2621" spans="2:13" ht="15.75" thickBot="1" x14ac:dyDescent="0.3">
      <c r="B2621" s="14" t="s">
        <v>13</v>
      </c>
      <c r="C2621" s="21">
        <f>SUM(C2613:C2620)</f>
        <v>30477.919999999998</v>
      </c>
      <c r="D2621" s="21">
        <f>SUM(D2613:D2620)</f>
        <v>23307.01</v>
      </c>
      <c r="E2621" s="22">
        <f>SUM(E2613:E2620)</f>
        <v>1673.6400000000012</v>
      </c>
      <c r="F2621" s="22">
        <f>SUM(F2613:F2620)</f>
        <v>24980.65</v>
      </c>
      <c r="G2621" s="46">
        <f>C2621-D2621-E2621</f>
        <v>5497.2699999999986</v>
      </c>
      <c r="H2621" s="80">
        <f>+C2621</f>
        <v>30477.919999999998</v>
      </c>
      <c r="I2621" s="82">
        <f>+D2621</f>
        <v>23307.01</v>
      </c>
      <c r="J2621" s="82">
        <f>+E2621</f>
        <v>1673.6400000000012</v>
      </c>
      <c r="K2621" s="82">
        <f>I2621+J2621</f>
        <v>24980.65</v>
      </c>
      <c r="L2621" s="95">
        <f>H2621-K2621</f>
        <v>5497.2699999999968</v>
      </c>
      <c r="M2621" s="97">
        <f>H2621-I2621</f>
        <v>7170.91</v>
      </c>
    </row>
    <row r="2622" spans="2:13" x14ac:dyDescent="0.25">
      <c r="B2622" s="224" t="s">
        <v>29</v>
      </c>
      <c r="C2622" s="234">
        <v>23283.64</v>
      </c>
      <c r="D2622" s="245">
        <v>3321.34</v>
      </c>
      <c r="E2622" s="223">
        <f>3549.11-D2622</f>
        <v>227.76999999999998</v>
      </c>
      <c r="F2622" s="212">
        <f t="shared" ref="F2622" si="175">D2622+E2622</f>
        <v>3549.11</v>
      </c>
      <c r="G2622" s="218">
        <f>C2622-D2622-E2622</f>
        <v>19734.53</v>
      </c>
    </row>
    <row r="2623" spans="2:13" ht="15.75" thickBot="1" x14ac:dyDescent="0.3">
      <c r="B2623" s="214"/>
      <c r="C2623" s="215"/>
      <c r="D2623" s="234"/>
      <c r="E2623" s="213"/>
      <c r="F2623" s="213"/>
      <c r="G2623" s="219"/>
    </row>
    <row r="2624" spans="2:13" x14ac:dyDescent="0.25">
      <c r="B2624" s="214" t="s">
        <v>30</v>
      </c>
      <c r="C2624" s="215">
        <v>50000</v>
      </c>
      <c r="D2624" s="216">
        <v>0</v>
      </c>
      <c r="E2624" s="212">
        <f>50000-D2624</f>
        <v>50000</v>
      </c>
      <c r="F2624" s="212">
        <f t="shared" ref="F2624" si="176">D2624+E2624</f>
        <v>50000</v>
      </c>
      <c r="G2624" s="218">
        <f>C2624-D2624-E2624</f>
        <v>0</v>
      </c>
    </row>
    <row r="2625" spans="2:13" ht="15.75" thickBot="1" x14ac:dyDescent="0.3">
      <c r="B2625" s="214"/>
      <c r="C2625" s="215"/>
      <c r="D2625" s="234"/>
      <c r="E2625" s="213"/>
      <c r="F2625" s="213"/>
      <c r="G2625" s="219"/>
    </row>
    <row r="2626" spans="2:13" x14ac:dyDescent="0.25">
      <c r="B2626" s="214" t="s">
        <v>31</v>
      </c>
      <c r="C2626" s="215">
        <v>80000</v>
      </c>
      <c r="D2626" s="216">
        <v>0</v>
      </c>
      <c r="E2626" s="212">
        <f>77806.38-D2626</f>
        <v>77806.38</v>
      </c>
      <c r="F2626" s="212">
        <f t="shared" ref="F2626" si="177">D2626+E2626</f>
        <v>77806.38</v>
      </c>
      <c r="G2626" s="218">
        <f>C2626-D2626-E2626</f>
        <v>2193.6199999999953</v>
      </c>
    </row>
    <row r="2627" spans="2:13" ht="15.75" thickBot="1" x14ac:dyDescent="0.3">
      <c r="B2627" s="214"/>
      <c r="C2627" s="215"/>
      <c r="D2627" s="234"/>
      <c r="E2627" s="213"/>
      <c r="F2627" s="213"/>
      <c r="G2627" s="219"/>
    </row>
    <row r="2628" spans="2:13" x14ac:dyDescent="0.25">
      <c r="B2628" s="214" t="s">
        <v>32</v>
      </c>
      <c r="C2628" s="215">
        <v>14800</v>
      </c>
      <c r="D2628" s="216">
        <v>0</v>
      </c>
      <c r="E2628" s="212">
        <f>2000-D2628</f>
        <v>2000</v>
      </c>
      <c r="F2628" s="212">
        <f t="shared" ref="F2628" si="178">D2628+E2628</f>
        <v>2000</v>
      </c>
      <c r="G2628" s="218">
        <f>C2628-D2628-E2628</f>
        <v>12800</v>
      </c>
    </row>
    <row r="2629" spans="2:13" ht="15.75" thickBot="1" x14ac:dyDescent="0.3">
      <c r="B2629" s="214"/>
      <c r="C2629" s="215"/>
      <c r="D2629" s="234"/>
      <c r="E2629" s="213"/>
      <c r="F2629" s="213"/>
      <c r="G2629" s="219"/>
    </row>
    <row r="2630" spans="2:13" x14ac:dyDescent="0.25">
      <c r="B2630" s="214" t="s">
        <v>33</v>
      </c>
      <c r="C2630" s="215">
        <v>0</v>
      </c>
      <c r="D2630" s="216">
        <v>0</v>
      </c>
      <c r="E2630" s="212">
        <f>0-D2630</f>
        <v>0</v>
      </c>
      <c r="F2630" s="212">
        <f t="shared" ref="F2630" si="179">D2630+E2630</f>
        <v>0</v>
      </c>
      <c r="G2630" s="218">
        <f>C2630-D2630-E2630</f>
        <v>0</v>
      </c>
    </row>
    <row r="2631" spans="2:13" ht="15.75" thickBot="1" x14ac:dyDescent="0.3">
      <c r="B2631" s="214"/>
      <c r="C2631" s="215"/>
      <c r="D2631" s="234"/>
      <c r="E2631" s="213"/>
      <c r="F2631" s="213"/>
      <c r="G2631" s="219"/>
    </row>
    <row r="2632" spans="2:13" x14ac:dyDescent="0.25">
      <c r="B2632" s="214" t="s">
        <v>34</v>
      </c>
      <c r="C2632" s="215">
        <v>0</v>
      </c>
      <c r="D2632" s="216">
        <v>0</v>
      </c>
      <c r="E2632" s="212">
        <f>-D2632</f>
        <v>0</v>
      </c>
      <c r="F2632" s="212">
        <f t="shared" ref="F2632" si="180">D2632+E2632</f>
        <v>0</v>
      </c>
      <c r="G2632" s="218">
        <f>C2632-D2632-E2632</f>
        <v>0</v>
      </c>
    </row>
    <row r="2633" spans="2:13" ht="15.75" thickBot="1" x14ac:dyDescent="0.3">
      <c r="B2633" s="214"/>
      <c r="C2633" s="215"/>
      <c r="D2633" s="234"/>
      <c r="E2633" s="213"/>
      <c r="F2633" s="213"/>
      <c r="G2633" s="219"/>
    </row>
    <row r="2634" spans="2:13" x14ac:dyDescent="0.25">
      <c r="B2634" s="214" t="s">
        <v>35</v>
      </c>
      <c r="C2634" s="215">
        <v>0</v>
      </c>
      <c r="D2634" s="216">
        <v>0</v>
      </c>
      <c r="E2634" s="212">
        <f>-D2634</f>
        <v>0</v>
      </c>
      <c r="F2634" s="212">
        <f t="shared" ref="F2634" si="181">D2634+E2634</f>
        <v>0</v>
      </c>
      <c r="G2634" s="218">
        <f>C2634-D2634-E2634</f>
        <v>0</v>
      </c>
    </row>
    <row r="2635" spans="2:13" ht="15.75" thickBot="1" x14ac:dyDescent="0.3">
      <c r="B2635" s="214"/>
      <c r="C2635" s="215"/>
      <c r="D2635" s="234"/>
      <c r="E2635" s="213"/>
      <c r="F2635" s="213"/>
      <c r="G2635" s="219"/>
    </row>
    <row r="2636" spans="2:13" ht="30.75" thickBot="1" x14ac:dyDescent="0.3">
      <c r="B2636" s="214" t="s">
        <v>36</v>
      </c>
      <c r="C2636" s="215">
        <v>0</v>
      </c>
      <c r="D2636" s="216">
        <v>0</v>
      </c>
      <c r="E2636" s="212">
        <f>-D2636</f>
        <v>0</v>
      </c>
      <c r="F2636" s="212">
        <f t="shared" ref="F2636" si="182">D2636+E2636</f>
        <v>0</v>
      </c>
      <c r="G2636" s="218">
        <f>C2636-D2636-E2636</f>
        <v>0</v>
      </c>
      <c r="H2636" s="155" t="s">
        <v>67</v>
      </c>
      <c r="I2636" s="154" t="s">
        <v>60</v>
      </c>
      <c r="J2636" s="120" t="s">
        <v>61</v>
      </c>
      <c r="K2636" s="126" t="s">
        <v>66</v>
      </c>
      <c r="L2636" s="133" t="s">
        <v>62</v>
      </c>
      <c r="M2636" s="137" t="s">
        <v>63</v>
      </c>
    </row>
    <row r="2637" spans="2:13" ht="15.75" thickBot="1" x14ac:dyDescent="0.3">
      <c r="B2637" s="220"/>
      <c r="C2637" s="221"/>
      <c r="D2637" s="244"/>
      <c r="E2637" s="213"/>
      <c r="F2637" s="213"/>
      <c r="G2637" s="219"/>
      <c r="H2637" s="62">
        <v>100</v>
      </c>
      <c r="I2637" s="63">
        <f>I2638*100/H2638</f>
        <v>1.9760043273693977</v>
      </c>
      <c r="J2637" s="63">
        <f>J2638*100/H2638</f>
        <v>77.362764157177935</v>
      </c>
      <c r="K2637" s="64">
        <f>(D2638+E2638)*100/C2638</f>
        <v>79.33876848454733</v>
      </c>
      <c r="L2637" s="91">
        <f>G2638*100/C2638</f>
        <v>20.661231515452677</v>
      </c>
      <c r="M2637" s="112">
        <f>M2638*100/H2638</f>
        <v>98.023995672630605</v>
      </c>
    </row>
    <row r="2638" spans="2:13" ht="15.75" thickBot="1" x14ac:dyDescent="0.3">
      <c r="B2638" s="14" t="s">
        <v>22</v>
      </c>
      <c r="C2638" s="15">
        <f>SUM(C2622:C2637)</f>
        <v>168083.64</v>
      </c>
      <c r="D2638" s="15">
        <f>SUM(D2622:D2636)</f>
        <v>3321.34</v>
      </c>
      <c r="E2638" s="16">
        <f>SUM(E2622:E2637)</f>
        <v>130034.15</v>
      </c>
      <c r="F2638" s="16">
        <f>SUM(F2622:F2637)</f>
        <v>133355.49</v>
      </c>
      <c r="G2638" s="46">
        <f>C2638-D2638-E2638</f>
        <v>34728.150000000023</v>
      </c>
      <c r="H2638" s="80">
        <f>K2638+L2638</f>
        <v>168083.64</v>
      </c>
      <c r="I2638" s="81">
        <f>+D2638</f>
        <v>3321.34</v>
      </c>
      <c r="J2638" s="81">
        <f>+E2638</f>
        <v>130034.15</v>
      </c>
      <c r="K2638" s="82">
        <f>D2638+E2638</f>
        <v>133355.49</v>
      </c>
      <c r="L2638" s="95">
        <f>+G2638</f>
        <v>34728.150000000023</v>
      </c>
      <c r="M2638" s="97">
        <f>H2638-I2638</f>
        <v>164762.30000000002</v>
      </c>
    </row>
    <row r="2639" spans="2:13" ht="15.75" thickBot="1" x14ac:dyDescent="0.3">
      <c r="B2639" s="17" t="s">
        <v>23</v>
      </c>
      <c r="C2639" s="18">
        <f>C2621+C2638</f>
        <v>198561.56</v>
      </c>
      <c r="D2639" s="19">
        <f>D2638+D2621</f>
        <v>26628.35</v>
      </c>
      <c r="E2639" s="20">
        <f>E2621+E2638</f>
        <v>131707.79</v>
      </c>
      <c r="F2639" s="20">
        <f>F2621+F2638</f>
        <v>158336.13999999998</v>
      </c>
      <c r="G2639" s="28">
        <f>C2639-D2639-E2639</f>
        <v>40225.419999999984</v>
      </c>
      <c r="H2639" s="50">
        <f>+C2639</f>
        <v>198561.56</v>
      </c>
      <c r="I2639" s="51">
        <f>+D2639</f>
        <v>26628.35</v>
      </c>
      <c r="J2639" s="51">
        <f>+E2639</f>
        <v>131707.79</v>
      </c>
      <c r="K2639" s="51">
        <f>I2639+J2639</f>
        <v>158336.14000000001</v>
      </c>
      <c r="L2639" s="100">
        <f>H2639-K2639</f>
        <v>40225.419999999984</v>
      </c>
      <c r="M2639" s="97">
        <f>H2639-I2639</f>
        <v>171933.21</v>
      </c>
    </row>
    <row r="2640" spans="2:13" ht="15.75" thickBot="1" x14ac:dyDescent="0.3">
      <c r="B2640" s="23"/>
      <c r="C2640" s="24"/>
      <c r="D2640" s="25"/>
      <c r="E2640" s="26"/>
      <c r="F2640" s="26"/>
      <c r="G2640" s="26"/>
      <c r="H2640" s="129">
        <v>100</v>
      </c>
      <c r="I2640" s="130">
        <f>I2639*100/H2639</f>
        <v>13.410626910868347</v>
      </c>
      <c r="J2640" s="130">
        <f>J2639*100/H2639</f>
        <v>66.330960534355185</v>
      </c>
      <c r="K2640" s="130">
        <f>K2639*100/H2639</f>
        <v>79.741587445223544</v>
      </c>
      <c r="L2640" s="131">
        <f>L2639*100/H2639</f>
        <v>20.258412554776456</v>
      </c>
      <c r="M2640" s="132">
        <f>M2639*100/H2639</f>
        <v>86.589373089131655</v>
      </c>
    </row>
    <row r="2641" spans="2:7" x14ac:dyDescent="0.25">
      <c r="B2641" s="23"/>
      <c r="C2641" s="24"/>
      <c r="D2641" s="25"/>
      <c r="E2641" s="26"/>
      <c r="F2641" s="26"/>
      <c r="G2641" s="26"/>
    </row>
    <row r="2642" spans="2:7" x14ac:dyDescent="0.25">
      <c r="B2642" s="23"/>
      <c r="C2642" s="24"/>
      <c r="D2642" s="25"/>
      <c r="E2642" s="26"/>
      <c r="F2642" s="26"/>
      <c r="G2642" s="26"/>
    </row>
    <row r="2643" spans="2:7" x14ac:dyDescent="0.25">
      <c r="B2643" s="23"/>
      <c r="C2643" s="24"/>
      <c r="D2643" s="25"/>
      <c r="E2643" s="26"/>
      <c r="F2643" s="26"/>
      <c r="G2643" s="26"/>
    </row>
    <row r="2644" spans="2:7" x14ac:dyDescent="0.25">
      <c r="B2644" s="23"/>
      <c r="C2644" s="24"/>
      <c r="D2644" s="25"/>
      <c r="E2644" s="26"/>
      <c r="F2644" s="26"/>
      <c r="G2644" s="26"/>
    </row>
    <row r="2645" spans="2:7" x14ac:dyDescent="0.25">
      <c r="B2645" s="23"/>
      <c r="C2645" s="24"/>
      <c r="D2645" s="25"/>
      <c r="E2645" s="26"/>
      <c r="F2645" s="26"/>
      <c r="G2645" s="26"/>
    </row>
    <row r="2646" spans="2:7" x14ac:dyDescent="0.25">
      <c r="B2646" s="23"/>
      <c r="C2646" s="24"/>
      <c r="D2646" s="25"/>
      <c r="E2646" s="26"/>
      <c r="F2646" s="26"/>
      <c r="G2646" s="26"/>
    </row>
    <row r="2647" spans="2:7" x14ac:dyDescent="0.25">
      <c r="B2647" s="23"/>
      <c r="C2647" s="24"/>
      <c r="D2647" s="25"/>
      <c r="E2647" s="26"/>
      <c r="F2647" s="26"/>
      <c r="G2647" s="26"/>
    </row>
    <row r="2648" spans="2:7" x14ac:dyDescent="0.25">
      <c r="B2648" s="23"/>
      <c r="C2648" s="24"/>
      <c r="D2648" s="25"/>
      <c r="E2648" s="26"/>
      <c r="F2648" s="26"/>
      <c r="G2648" s="26"/>
    </row>
    <row r="2649" spans="2:7" x14ac:dyDescent="0.25">
      <c r="B2649" s="23"/>
      <c r="C2649" s="24"/>
      <c r="D2649" s="25"/>
      <c r="E2649" s="26"/>
      <c r="F2649" s="26"/>
      <c r="G2649" s="26"/>
    </row>
    <row r="2650" spans="2:7" x14ac:dyDescent="0.25">
      <c r="B2650" s="23"/>
      <c r="C2650" s="24"/>
      <c r="D2650" s="25"/>
      <c r="E2650" s="26"/>
      <c r="F2650" s="26"/>
      <c r="G2650" s="26"/>
    </row>
    <row r="2651" spans="2:7" x14ac:dyDescent="0.25">
      <c r="B2651" s="23"/>
      <c r="C2651" s="24"/>
      <c r="D2651" s="25"/>
      <c r="E2651" s="26"/>
      <c r="F2651" s="26"/>
      <c r="G2651" s="26"/>
    </row>
    <row r="2652" spans="2:7" x14ac:dyDescent="0.25">
      <c r="B2652" s="23"/>
      <c r="C2652" s="24"/>
      <c r="D2652" s="25"/>
      <c r="E2652" s="26"/>
      <c r="F2652" s="26"/>
      <c r="G2652" s="26"/>
    </row>
    <row r="2653" spans="2:7" x14ac:dyDescent="0.25">
      <c r="B2653" s="23"/>
      <c r="C2653" s="24"/>
      <c r="D2653" s="25"/>
      <c r="E2653" s="26"/>
      <c r="F2653" s="26"/>
      <c r="G2653" s="26"/>
    </row>
    <row r="2654" spans="2:7" x14ac:dyDescent="0.25">
      <c r="B2654" s="23"/>
      <c r="C2654" s="24"/>
      <c r="D2654" s="25"/>
      <c r="E2654" s="26"/>
      <c r="F2654" s="26"/>
      <c r="G2654" s="26"/>
    </row>
    <row r="2655" spans="2:7" x14ac:dyDescent="0.25">
      <c r="B2655" s="23"/>
      <c r="C2655" s="24"/>
      <c r="D2655" s="25"/>
      <c r="E2655" s="26"/>
      <c r="F2655" s="26"/>
      <c r="G2655" s="26"/>
    </row>
    <row r="2656" spans="2:7" x14ac:dyDescent="0.25">
      <c r="B2656" s="23"/>
      <c r="C2656" s="24"/>
      <c r="D2656" s="25"/>
      <c r="E2656" s="26"/>
      <c r="F2656" s="26"/>
      <c r="G2656" s="26"/>
    </row>
    <row r="2657" spans="2:12" x14ac:dyDescent="0.25">
      <c r="B2657" s="23"/>
      <c r="C2657" s="24"/>
      <c r="D2657" s="25"/>
      <c r="E2657" s="26"/>
      <c r="F2657" s="26"/>
      <c r="G2657" s="26"/>
    </row>
    <row r="2658" spans="2:12" x14ac:dyDescent="0.25">
      <c r="B2658" s="225" t="s">
        <v>0</v>
      </c>
      <c r="C2658" s="225"/>
      <c r="D2658" s="225"/>
      <c r="E2658" s="225"/>
      <c r="F2658" s="225"/>
      <c r="G2658" s="225"/>
    </row>
    <row r="2659" spans="2:12" x14ac:dyDescent="0.25">
      <c r="B2659" s="225" t="s">
        <v>1</v>
      </c>
      <c r="C2659" s="225"/>
      <c r="D2659" s="225"/>
      <c r="E2659" s="225"/>
      <c r="F2659" s="225"/>
      <c r="G2659" s="225"/>
    </row>
    <row r="2660" spans="2:12" x14ac:dyDescent="0.25">
      <c r="B2660" s="225" t="s">
        <v>37</v>
      </c>
      <c r="C2660" s="225"/>
      <c r="D2660" s="225"/>
      <c r="E2660" s="225"/>
      <c r="F2660" s="225"/>
      <c r="G2660" s="225"/>
    </row>
    <row r="2661" spans="2:12" x14ac:dyDescent="0.25">
      <c r="B2661" s="225" t="s">
        <v>58</v>
      </c>
      <c r="C2661" s="225"/>
      <c r="D2661" s="225"/>
      <c r="E2661" s="225"/>
      <c r="F2661" s="225"/>
      <c r="G2661" s="225"/>
    </row>
    <row r="2662" spans="2:12" x14ac:dyDescent="0.25">
      <c r="B2662" s="225" t="s">
        <v>124</v>
      </c>
      <c r="C2662" s="225"/>
      <c r="D2662" s="225"/>
      <c r="E2662" s="225"/>
      <c r="F2662" s="225"/>
      <c r="G2662" s="225"/>
    </row>
    <row r="2663" spans="2:12" ht="15.75" thickBot="1" x14ac:dyDescent="0.3">
      <c r="B2663" s="23"/>
      <c r="C2663" s="24"/>
      <c r="D2663" s="25"/>
      <c r="E2663" s="26"/>
      <c r="F2663" s="26"/>
      <c r="G2663" s="26"/>
    </row>
    <row r="2664" spans="2:12" ht="36.75" thickBot="1" x14ac:dyDescent="0.3">
      <c r="B2664" s="185"/>
      <c r="C2664" s="184" t="s">
        <v>5</v>
      </c>
      <c r="D2664" s="161" t="s">
        <v>72</v>
      </c>
      <c r="E2664" s="172" t="s">
        <v>6</v>
      </c>
      <c r="F2664" s="161" t="s">
        <v>60</v>
      </c>
      <c r="G2664" s="172" t="s">
        <v>7</v>
      </c>
      <c r="H2664" s="180" t="s">
        <v>98</v>
      </c>
      <c r="I2664" s="172" t="s">
        <v>65</v>
      </c>
      <c r="J2664" s="180" t="s">
        <v>99</v>
      </c>
      <c r="K2664" s="177" t="s">
        <v>8</v>
      </c>
      <c r="L2664" s="181" t="s">
        <v>100</v>
      </c>
    </row>
    <row r="2665" spans="2:12" ht="15.75" thickBot="1" x14ac:dyDescent="0.3">
      <c r="B2665" s="194" t="s">
        <v>105</v>
      </c>
      <c r="C2665" s="182">
        <v>198561.56</v>
      </c>
      <c r="D2665" s="174">
        <v>1</v>
      </c>
      <c r="E2665" s="170">
        <v>26628.35</v>
      </c>
      <c r="F2665" s="175">
        <f>E2665/C2665</f>
        <v>0.13410626910868348</v>
      </c>
      <c r="G2665" s="170">
        <v>131707.79</v>
      </c>
      <c r="H2665" s="175">
        <f>G2665/C2665</f>
        <v>0.66330960534355199</v>
      </c>
      <c r="I2665" s="170">
        <f>E2665+G2665</f>
        <v>158336.14000000001</v>
      </c>
      <c r="J2665" s="175">
        <f>I2665/C2665</f>
        <v>0.7974158744522355</v>
      </c>
      <c r="K2665" s="189">
        <f>C2665-I2665</f>
        <v>40225.419999999984</v>
      </c>
      <c r="L2665" s="190">
        <f>K2665/C2665</f>
        <v>0.20258412554776456</v>
      </c>
    </row>
    <row r="2666" spans="2:12" x14ac:dyDescent="0.25">
      <c r="B2666" s="12"/>
      <c r="C2666" s="13"/>
      <c r="D2666" s="12"/>
      <c r="E2666" s="12"/>
      <c r="F2666" s="12"/>
      <c r="G2666" s="12"/>
    </row>
    <row r="2667" spans="2:12" x14ac:dyDescent="0.25">
      <c r="B2667" s="12"/>
      <c r="C2667" s="13"/>
      <c r="D2667" s="12"/>
      <c r="E2667" s="12"/>
      <c r="F2667" s="12"/>
      <c r="G2667" s="12"/>
    </row>
    <row r="2668" spans="2:12" x14ac:dyDescent="0.25">
      <c r="B2668" s="12"/>
      <c r="C2668" s="13"/>
      <c r="D2668" s="12"/>
      <c r="E2668" s="12"/>
      <c r="F2668" s="12"/>
      <c r="G2668" s="12"/>
    </row>
    <row r="2669" spans="2:12" x14ac:dyDescent="0.25">
      <c r="B2669" s="12"/>
      <c r="C2669" s="13"/>
      <c r="D2669" s="12"/>
      <c r="E2669" s="12"/>
      <c r="F2669" s="12"/>
      <c r="G2669" s="12"/>
    </row>
    <row r="2670" spans="2:12" x14ac:dyDescent="0.25">
      <c r="B2670" s="12"/>
      <c r="C2670" s="13"/>
      <c r="D2670" s="12"/>
      <c r="E2670" s="12"/>
      <c r="F2670" s="12"/>
      <c r="G2670" s="12"/>
    </row>
    <row r="2671" spans="2:12" x14ac:dyDescent="0.25">
      <c r="B2671" s="12"/>
      <c r="C2671" s="13"/>
      <c r="D2671" s="12"/>
      <c r="E2671" s="12"/>
      <c r="F2671" s="12"/>
      <c r="G2671" s="12"/>
    </row>
    <row r="2672" spans="2:12" x14ac:dyDescent="0.25">
      <c r="B2672" s="12"/>
      <c r="C2672" s="13"/>
      <c r="D2672" s="12"/>
      <c r="E2672" s="12"/>
      <c r="F2672" s="12"/>
      <c r="G2672" s="12"/>
    </row>
    <row r="2673" spans="2:7" x14ac:dyDescent="0.25">
      <c r="B2673" s="12"/>
      <c r="C2673" s="13"/>
      <c r="D2673" s="12"/>
      <c r="E2673" s="12"/>
      <c r="F2673" s="12"/>
      <c r="G2673" s="12"/>
    </row>
    <row r="2674" spans="2:7" x14ac:dyDescent="0.25">
      <c r="B2674" s="12"/>
      <c r="C2674" s="13"/>
      <c r="D2674" s="12"/>
      <c r="E2674" s="12"/>
      <c r="F2674" s="12"/>
      <c r="G2674" s="12"/>
    </row>
    <row r="2675" spans="2:7" x14ac:dyDescent="0.25">
      <c r="B2675" s="12"/>
      <c r="C2675" s="13"/>
      <c r="D2675" s="12"/>
      <c r="E2675" s="12"/>
      <c r="F2675" s="12"/>
      <c r="G2675" s="12"/>
    </row>
    <row r="2676" spans="2:7" x14ac:dyDescent="0.25">
      <c r="B2676" s="12"/>
      <c r="C2676" s="13"/>
      <c r="D2676" s="12"/>
      <c r="E2676" s="12"/>
      <c r="F2676" s="12"/>
      <c r="G2676" s="12"/>
    </row>
    <row r="2677" spans="2:7" x14ac:dyDescent="0.25">
      <c r="B2677" s="12"/>
      <c r="C2677" s="13"/>
      <c r="D2677" s="12"/>
      <c r="E2677" s="12"/>
      <c r="F2677" s="12"/>
      <c r="G2677" s="12"/>
    </row>
    <row r="2678" spans="2:7" x14ac:dyDescent="0.25">
      <c r="B2678" s="12"/>
      <c r="C2678" s="13"/>
      <c r="D2678" s="12"/>
      <c r="E2678" s="12"/>
      <c r="F2678" s="12"/>
      <c r="G2678" s="12"/>
    </row>
    <row r="2679" spans="2:7" x14ac:dyDescent="0.25">
      <c r="B2679" s="12"/>
      <c r="C2679" s="13"/>
      <c r="D2679" s="12"/>
      <c r="E2679" s="12"/>
      <c r="F2679" s="12"/>
      <c r="G2679" s="12"/>
    </row>
    <row r="2680" spans="2:7" x14ac:dyDescent="0.25">
      <c r="B2680" s="12"/>
      <c r="C2680" s="13"/>
      <c r="D2680" s="12"/>
      <c r="E2680" s="12"/>
      <c r="F2680" s="12"/>
      <c r="G2680" s="12"/>
    </row>
    <row r="2681" spans="2:7" x14ac:dyDescent="0.25">
      <c r="B2681" s="12"/>
      <c r="C2681" s="13"/>
      <c r="D2681" s="12"/>
      <c r="E2681" s="12"/>
      <c r="F2681" s="12"/>
      <c r="G2681" s="12"/>
    </row>
    <row r="2682" spans="2:7" x14ac:dyDescent="0.25">
      <c r="B2682" s="12"/>
      <c r="C2682" s="13"/>
      <c r="D2682" s="12"/>
      <c r="E2682" s="12"/>
      <c r="F2682" s="12"/>
      <c r="G2682" s="12"/>
    </row>
    <row r="2683" spans="2:7" x14ac:dyDescent="0.25">
      <c r="B2683" s="12"/>
      <c r="C2683" s="13"/>
      <c r="D2683" s="12"/>
      <c r="E2683" s="12"/>
      <c r="F2683" s="12"/>
      <c r="G2683" s="12"/>
    </row>
    <row r="2684" spans="2:7" x14ac:dyDescent="0.25">
      <c r="B2684" s="12"/>
      <c r="C2684" s="13"/>
      <c r="D2684" s="12"/>
      <c r="E2684" s="12"/>
      <c r="F2684" s="12"/>
      <c r="G2684" s="12"/>
    </row>
    <row r="2685" spans="2:7" x14ac:dyDescent="0.25">
      <c r="B2685" s="12"/>
      <c r="C2685" s="13"/>
      <c r="D2685" s="12"/>
      <c r="E2685" s="12"/>
      <c r="F2685" s="12"/>
      <c r="G2685" s="12"/>
    </row>
    <row r="2686" spans="2:7" x14ac:dyDescent="0.25">
      <c r="B2686" s="12"/>
      <c r="C2686" s="13"/>
      <c r="D2686" s="12"/>
      <c r="E2686" s="12"/>
      <c r="F2686" s="12"/>
      <c r="G2686" s="12"/>
    </row>
    <row r="2687" spans="2:7" x14ac:dyDescent="0.25">
      <c r="B2687" s="12"/>
      <c r="C2687" s="13"/>
      <c r="D2687" s="12"/>
      <c r="E2687" s="12"/>
      <c r="F2687" s="12"/>
      <c r="G2687" s="12"/>
    </row>
    <row r="2688" spans="2:7" x14ac:dyDescent="0.25">
      <c r="B2688" s="12"/>
      <c r="C2688" s="13"/>
      <c r="D2688" s="12"/>
      <c r="E2688" s="12"/>
      <c r="F2688" s="12"/>
      <c r="G2688" s="12"/>
    </row>
    <row r="2689" spans="2:7" x14ac:dyDescent="0.25">
      <c r="B2689" s="12"/>
      <c r="C2689" s="13"/>
      <c r="D2689" s="12"/>
      <c r="E2689" s="12"/>
      <c r="F2689" s="12"/>
      <c r="G2689" s="12"/>
    </row>
    <row r="2690" spans="2:7" x14ac:dyDescent="0.25">
      <c r="B2690" s="12"/>
      <c r="C2690" s="13"/>
      <c r="D2690" s="12"/>
      <c r="E2690" s="12"/>
      <c r="F2690" s="12"/>
      <c r="G2690" s="12"/>
    </row>
    <row r="2691" spans="2:7" x14ac:dyDescent="0.25">
      <c r="B2691" s="12"/>
      <c r="C2691" s="13"/>
      <c r="D2691" s="12"/>
      <c r="E2691" s="12"/>
      <c r="F2691" s="12"/>
      <c r="G2691" s="12"/>
    </row>
    <row r="2692" spans="2:7" x14ac:dyDescent="0.25">
      <c r="B2692" s="12"/>
      <c r="C2692" s="13"/>
      <c r="D2692" s="12"/>
      <c r="E2692" s="12"/>
      <c r="F2692" s="12"/>
      <c r="G2692" s="12"/>
    </row>
    <row r="2693" spans="2:7" x14ac:dyDescent="0.25">
      <c r="B2693" s="12"/>
      <c r="C2693" s="13"/>
      <c r="D2693" s="12"/>
      <c r="E2693" s="12"/>
      <c r="F2693" s="12"/>
      <c r="G2693" s="12"/>
    </row>
    <row r="2694" spans="2:7" x14ac:dyDescent="0.25">
      <c r="B2694" s="12"/>
      <c r="C2694" s="13"/>
      <c r="D2694" s="12"/>
      <c r="E2694" s="12"/>
      <c r="F2694" s="12"/>
      <c r="G2694" s="12"/>
    </row>
    <row r="2695" spans="2:7" x14ac:dyDescent="0.25">
      <c r="B2695" s="12"/>
      <c r="C2695" s="13"/>
      <c r="D2695" s="12"/>
      <c r="E2695" s="12"/>
      <c r="F2695" s="12"/>
      <c r="G2695" s="12"/>
    </row>
    <row r="2696" spans="2:7" x14ac:dyDescent="0.25">
      <c r="B2696" s="12"/>
      <c r="C2696" s="13"/>
      <c r="D2696" s="12"/>
      <c r="E2696" s="12"/>
      <c r="F2696" s="12"/>
      <c r="G2696" s="12"/>
    </row>
    <row r="2697" spans="2:7" x14ac:dyDescent="0.25">
      <c r="B2697" s="12"/>
      <c r="C2697" s="13"/>
      <c r="D2697" s="12"/>
      <c r="E2697" s="12"/>
      <c r="F2697" s="12"/>
      <c r="G2697" s="12"/>
    </row>
    <row r="2698" spans="2:7" x14ac:dyDescent="0.25">
      <c r="B2698" s="12"/>
      <c r="C2698" s="13"/>
      <c r="D2698" s="12"/>
      <c r="E2698" s="12"/>
      <c r="F2698" s="12"/>
      <c r="G2698" s="12"/>
    </row>
    <row r="2699" spans="2:7" x14ac:dyDescent="0.25">
      <c r="B2699" s="12"/>
      <c r="C2699" s="13"/>
      <c r="D2699" s="12"/>
      <c r="E2699" s="12"/>
      <c r="F2699" s="12"/>
      <c r="G2699" s="12"/>
    </row>
    <row r="2700" spans="2:7" x14ac:dyDescent="0.25">
      <c r="B2700" s="12"/>
      <c r="C2700" s="13"/>
      <c r="D2700" s="12"/>
      <c r="E2700" s="12"/>
      <c r="F2700" s="12"/>
      <c r="G2700" s="12"/>
    </row>
    <row r="2701" spans="2:7" x14ac:dyDescent="0.25">
      <c r="B2701" s="12"/>
      <c r="C2701" s="13"/>
      <c r="D2701" s="12"/>
      <c r="E2701" s="12"/>
      <c r="F2701" s="12"/>
      <c r="G2701" s="12"/>
    </row>
    <row r="2702" spans="2:7" x14ac:dyDescent="0.25">
      <c r="B2702" s="12"/>
      <c r="C2702" s="13"/>
      <c r="D2702" s="12"/>
      <c r="E2702" s="12"/>
      <c r="F2702" s="12"/>
      <c r="G2702" s="12"/>
    </row>
    <row r="2703" spans="2:7" x14ac:dyDescent="0.25">
      <c r="B2703" s="12"/>
      <c r="C2703" s="13"/>
      <c r="D2703" s="12"/>
      <c r="E2703" s="12"/>
      <c r="F2703" s="12"/>
      <c r="G2703" s="12"/>
    </row>
    <row r="2704" spans="2:7" x14ac:dyDescent="0.25">
      <c r="B2704" s="12"/>
      <c r="C2704" s="13"/>
      <c r="D2704" s="12"/>
      <c r="E2704" s="12"/>
      <c r="F2704" s="12"/>
      <c r="G2704" s="12"/>
    </row>
    <row r="2705" spans="2:7" x14ac:dyDescent="0.25">
      <c r="B2705" s="12"/>
      <c r="C2705" s="13"/>
      <c r="D2705" s="12"/>
      <c r="E2705" s="12"/>
      <c r="F2705" s="12"/>
      <c r="G2705" s="12"/>
    </row>
    <row r="2706" spans="2:7" x14ac:dyDescent="0.25">
      <c r="B2706" s="12"/>
      <c r="C2706" s="13"/>
      <c r="D2706" s="12"/>
      <c r="E2706" s="12"/>
      <c r="F2706" s="12"/>
      <c r="G2706" s="12"/>
    </row>
    <row r="2707" spans="2:7" x14ac:dyDescent="0.25">
      <c r="B2707" s="12"/>
      <c r="C2707" s="13"/>
      <c r="D2707" s="12"/>
      <c r="E2707" s="12"/>
      <c r="F2707" s="12"/>
      <c r="G2707" s="12"/>
    </row>
    <row r="2708" spans="2:7" x14ac:dyDescent="0.25">
      <c r="B2708" s="12"/>
      <c r="C2708" s="13"/>
      <c r="D2708" s="12"/>
      <c r="E2708" s="12"/>
      <c r="F2708" s="12"/>
      <c r="G2708" s="12"/>
    </row>
    <row r="2709" spans="2:7" x14ac:dyDescent="0.25">
      <c r="B2709" s="12"/>
      <c r="C2709" s="13"/>
      <c r="D2709" s="12"/>
      <c r="E2709" s="12"/>
      <c r="F2709" s="12"/>
      <c r="G2709" s="12"/>
    </row>
    <row r="2710" spans="2:7" x14ac:dyDescent="0.25">
      <c r="B2710" s="12"/>
      <c r="C2710" s="13"/>
      <c r="D2710" s="12"/>
      <c r="E2710" s="12"/>
      <c r="F2710" s="12"/>
      <c r="G2710" s="12"/>
    </row>
    <row r="2711" spans="2:7" x14ac:dyDescent="0.25">
      <c r="B2711" s="12"/>
      <c r="C2711" s="13"/>
      <c r="D2711" s="12"/>
      <c r="E2711" s="12"/>
      <c r="F2711" s="12"/>
      <c r="G2711" s="12"/>
    </row>
    <row r="2712" spans="2:7" x14ac:dyDescent="0.25">
      <c r="B2712" s="225" t="s">
        <v>0</v>
      </c>
      <c r="C2712" s="225"/>
      <c r="D2712" s="225"/>
      <c r="E2712" s="225"/>
      <c r="F2712" s="225"/>
      <c r="G2712" s="225"/>
    </row>
    <row r="2713" spans="2:7" x14ac:dyDescent="0.25">
      <c r="B2713" s="225" t="s">
        <v>1</v>
      </c>
      <c r="C2713" s="225"/>
      <c r="D2713" s="225"/>
      <c r="E2713" s="225"/>
      <c r="F2713" s="225"/>
      <c r="G2713" s="225"/>
    </row>
    <row r="2714" spans="2:7" x14ac:dyDescent="0.25">
      <c r="B2714" s="225" t="s">
        <v>56</v>
      </c>
      <c r="C2714" s="225"/>
      <c r="D2714" s="225"/>
      <c r="E2714" s="225"/>
      <c r="F2714" s="225"/>
      <c r="G2714" s="225"/>
    </row>
    <row r="2715" spans="2:7" x14ac:dyDescent="0.25">
      <c r="B2715" s="225" t="s">
        <v>57</v>
      </c>
      <c r="C2715" s="225"/>
      <c r="D2715" s="225"/>
      <c r="E2715" s="225"/>
      <c r="F2715" s="225"/>
      <c r="G2715" s="225"/>
    </row>
    <row r="2716" spans="2:7" x14ac:dyDescent="0.25">
      <c r="B2716" s="225" t="s">
        <v>124</v>
      </c>
      <c r="C2716" s="225"/>
      <c r="D2716" s="225"/>
      <c r="E2716" s="225"/>
      <c r="F2716" s="225"/>
      <c r="G2716" s="225"/>
    </row>
    <row r="2717" spans="2:7" ht="15.75" thickBot="1" x14ac:dyDescent="0.3">
      <c r="B2717" s="159"/>
      <c r="C2717" s="159"/>
      <c r="D2717" s="159"/>
      <c r="E2717" s="159"/>
      <c r="F2717" s="159"/>
      <c r="G2717" s="12"/>
    </row>
    <row r="2718" spans="2:7" ht="24.75" thickBot="1" x14ac:dyDescent="0.3">
      <c r="B2718" s="2" t="s">
        <v>4</v>
      </c>
      <c r="C2718" s="3" t="s">
        <v>5</v>
      </c>
      <c r="D2718" s="3" t="s">
        <v>6</v>
      </c>
      <c r="E2718" s="4" t="s">
        <v>7</v>
      </c>
      <c r="F2718" s="3" t="s">
        <v>65</v>
      </c>
      <c r="G2718" s="3" t="s">
        <v>8</v>
      </c>
    </row>
    <row r="2719" spans="2:7" x14ac:dyDescent="0.25">
      <c r="B2719" s="226" t="s">
        <v>25</v>
      </c>
      <c r="C2719" s="228">
        <v>5481834.0300000003</v>
      </c>
      <c r="D2719" s="245">
        <v>1244696.6399999999</v>
      </c>
      <c r="E2719" s="229">
        <f>1545148.75-D2719</f>
        <v>300452.1100000001</v>
      </c>
      <c r="F2719" s="228">
        <f>D2719+E2719</f>
        <v>1545148.75</v>
      </c>
      <c r="G2719" s="228">
        <f>C2719-D2719-E2719</f>
        <v>3936685.2800000003</v>
      </c>
    </row>
    <row r="2720" spans="2:7" ht="15.75" thickBot="1" x14ac:dyDescent="0.3">
      <c r="B2720" s="227"/>
      <c r="C2720" s="215"/>
      <c r="D2720" s="234"/>
      <c r="E2720" s="230"/>
      <c r="F2720" s="215"/>
      <c r="G2720" s="215"/>
    </row>
    <row r="2721" spans="2:13" x14ac:dyDescent="0.25">
      <c r="B2721" s="231" t="s">
        <v>26</v>
      </c>
      <c r="C2721" s="215">
        <v>1000</v>
      </c>
      <c r="D2721" s="216">
        <v>0</v>
      </c>
      <c r="E2721" s="236">
        <f>0-D2721</f>
        <v>0</v>
      </c>
      <c r="F2721" s="216">
        <f>D2721+E2721</f>
        <v>0</v>
      </c>
      <c r="G2721" s="228">
        <f>C2721-D2721-E2721</f>
        <v>1000</v>
      </c>
    </row>
    <row r="2722" spans="2:13" ht="15.75" thickBot="1" x14ac:dyDescent="0.3">
      <c r="B2722" s="231"/>
      <c r="C2722" s="215"/>
      <c r="D2722" s="234"/>
      <c r="E2722" s="263"/>
      <c r="F2722" s="217"/>
      <c r="G2722" s="215"/>
    </row>
    <row r="2723" spans="2:13" x14ac:dyDescent="0.25">
      <c r="B2723" s="231" t="s">
        <v>27</v>
      </c>
      <c r="C2723" s="215">
        <v>0</v>
      </c>
      <c r="D2723" s="216">
        <v>0</v>
      </c>
      <c r="E2723" s="236">
        <v>0</v>
      </c>
      <c r="F2723" s="216">
        <f t="shared" ref="F2723" si="183">D2723+E2723</f>
        <v>0</v>
      </c>
      <c r="G2723" s="228">
        <f>C2723-D2723-E2723</f>
        <v>0</v>
      </c>
    </row>
    <row r="2724" spans="2:13" ht="15.75" thickBot="1" x14ac:dyDescent="0.3">
      <c r="B2724" s="231"/>
      <c r="C2724" s="215"/>
      <c r="D2724" s="234"/>
      <c r="E2724" s="263"/>
      <c r="F2724" s="217"/>
      <c r="G2724" s="215"/>
    </row>
    <row r="2725" spans="2:13" ht="30.75" thickBot="1" x14ac:dyDescent="0.3">
      <c r="B2725" s="231" t="s">
        <v>28</v>
      </c>
      <c r="C2725" s="215">
        <v>340100</v>
      </c>
      <c r="D2725" s="216">
        <v>301822.96000000002</v>
      </c>
      <c r="E2725" s="236">
        <f>301822.96-D2725</f>
        <v>0</v>
      </c>
      <c r="F2725" s="216">
        <f t="shared" ref="F2725" si="184">D2725+E2725</f>
        <v>301822.96000000002</v>
      </c>
      <c r="G2725" s="228">
        <f>C2725-D2725-E2725</f>
        <v>38277.039999999979</v>
      </c>
      <c r="H2725" s="155" t="s">
        <v>67</v>
      </c>
      <c r="I2725" s="154" t="s">
        <v>60</v>
      </c>
      <c r="J2725" s="120" t="s">
        <v>61</v>
      </c>
      <c r="K2725" s="126" t="s">
        <v>66</v>
      </c>
      <c r="L2725" s="133" t="s">
        <v>62</v>
      </c>
      <c r="M2725" s="128" t="s">
        <v>63</v>
      </c>
    </row>
    <row r="2726" spans="2:13" ht="15.75" thickBot="1" x14ac:dyDescent="0.3">
      <c r="B2726" s="232"/>
      <c r="C2726" s="216"/>
      <c r="D2726" s="244"/>
      <c r="E2726" s="264"/>
      <c r="F2726" s="222"/>
      <c r="G2726" s="239"/>
      <c r="H2726" s="36">
        <v>100</v>
      </c>
      <c r="I2726" s="37">
        <f>I2727*100/H2727</f>
        <v>26.559112502945528</v>
      </c>
      <c r="J2726" s="37">
        <f>J2727*100/H2727</f>
        <v>5.1598061810774132</v>
      </c>
      <c r="K2726" s="102">
        <f>K2727*100/H2727</f>
        <v>31.718918684022938</v>
      </c>
      <c r="L2726" s="106">
        <f>L2727*100/H2727</f>
        <v>68.281081315977062</v>
      </c>
      <c r="M2726" s="97">
        <f>M2727*100/H2727</f>
        <v>73.440887497054476</v>
      </c>
    </row>
    <row r="2727" spans="2:13" ht="15.75" thickBot="1" x14ac:dyDescent="0.3">
      <c r="B2727" s="14" t="s">
        <v>13</v>
      </c>
      <c r="C2727" s="21">
        <f>SUM(C2719:C2726)</f>
        <v>5822934.0300000003</v>
      </c>
      <c r="D2727" s="21">
        <f>SUM(D2719:D2726)</f>
        <v>1546519.5999999999</v>
      </c>
      <c r="E2727" s="22">
        <f>SUM(E2719:E2726)</f>
        <v>300452.1100000001</v>
      </c>
      <c r="F2727" s="22">
        <f>SUM(F2719:F2726)</f>
        <v>1846971.71</v>
      </c>
      <c r="G2727" s="46">
        <f>C2727-D2727-E2727</f>
        <v>3975962.3200000003</v>
      </c>
      <c r="H2727" s="85">
        <f>+C2727</f>
        <v>5822934.0300000003</v>
      </c>
      <c r="I2727" s="86">
        <f>+D2727</f>
        <v>1546519.5999999999</v>
      </c>
      <c r="J2727" s="86">
        <f>+E2727</f>
        <v>300452.1100000001</v>
      </c>
      <c r="K2727" s="86">
        <f>I2727+J2727</f>
        <v>1846971.71</v>
      </c>
      <c r="L2727" s="105">
        <f>H2727-K2727</f>
        <v>3975962.3200000003</v>
      </c>
      <c r="M2727" s="97">
        <f>H2727-I2727</f>
        <v>4276414.4300000006</v>
      </c>
    </row>
    <row r="2728" spans="2:13" x14ac:dyDescent="0.25">
      <c r="B2728" s="224" t="s">
        <v>29</v>
      </c>
      <c r="C2728" s="234">
        <v>0</v>
      </c>
      <c r="D2728" s="245">
        <v>0</v>
      </c>
      <c r="E2728" s="223">
        <f>0-D2728</f>
        <v>0</v>
      </c>
      <c r="F2728" s="212">
        <f t="shared" ref="F2728" si="185">D2728+E2728</f>
        <v>0</v>
      </c>
      <c r="G2728" s="218">
        <f>C2728-D2728-E2728</f>
        <v>0</v>
      </c>
    </row>
    <row r="2729" spans="2:13" ht="15.75" thickBot="1" x14ac:dyDescent="0.3">
      <c r="B2729" s="214"/>
      <c r="C2729" s="215"/>
      <c r="D2729" s="234"/>
      <c r="E2729" s="213"/>
      <c r="F2729" s="213"/>
      <c r="G2729" s="219"/>
    </row>
    <row r="2730" spans="2:13" x14ac:dyDescent="0.25">
      <c r="B2730" s="214" t="s">
        <v>30</v>
      </c>
      <c r="C2730" s="215">
        <v>194124.71</v>
      </c>
      <c r="D2730" s="216">
        <v>191275.43</v>
      </c>
      <c r="E2730" s="212">
        <f>194124.71-D2730</f>
        <v>2849.2799999999988</v>
      </c>
      <c r="F2730" s="212">
        <f t="shared" ref="F2730" si="186">D2730+E2730</f>
        <v>194124.71</v>
      </c>
      <c r="G2730" s="218">
        <f>C2730-D2730-E2730</f>
        <v>0</v>
      </c>
    </row>
    <row r="2731" spans="2:13" ht="15.75" thickBot="1" x14ac:dyDescent="0.3">
      <c r="B2731" s="214"/>
      <c r="C2731" s="215"/>
      <c r="D2731" s="234"/>
      <c r="E2731" s="213"/>
      <c r="F2731" s="213"/>
      <c r="G2731" s="219"/>
    </row>
    <row r="2732" spans="2:13" x14ac:dyDescent="0.25">
      <c r="B2732" s="214" t="s">
        <v>31</v>
      </c>
      <c r="C2732" s="215">
        <v>0</v>
      </c>
      <c r="D2732" s="216">
        <v>0</v>
      </c>
      <c r="E2732" s="212">
        <f>0-D2732</f>
        <v>0</v>
      </c>
      <c r="F2732" s="212">
        <f t="shared" ref="F2732" si="187">D2732+E2732</f>
        <v>0</v>
      </c>
      <c r="G2732" s="218">
        <f>C2732-D2732-E2732</f>
        <v>0</v>
      </c>
    </row>
    <row r="2733" spans="2:13" ht="15.75" thickBot="1" x14ac:dyDescent="0.3">
      <c r="B2733" s="214"/>
      <c r="C2733" s="215"/>
      <c r="D2733" s="234"/>
      <c r="E2733" s="213"/>
      <c r="F2733" s="213"/>
      <c r="G2733" s="219"/>
    </row>
    <row r="2734" spans="2:13" x14ac:dyDescent="0.25">
      <c r="B2734" s="214" t="s">
        <v>32</v>
      </c>
      <c r="C2734" s="215">
        <v>0</v>
      </c>
      <c r="D2734" s="216">
        <v>0</v>
      </c>
      <c r="E2734" s="212">
        <v>0</v>
      </c>
      <c r="F2734" s="212">
        <f t="shared" ref="F2734" si="188">D2734+E2734</f>
        <v>0</v>
      </c>
      <c r="G2734" s="218">
        <f>C2734-D2734-E2734</f>
        <v>0</v>
      </c>
    </row>
    <row r="2735" spans="2:13" ht="15.75" thickBot="1" x14ac:dyDescent="0.3">
      <c r="B2735" s="214"/>
      <c r="C2735" s="215"/>
      <c r="D2735" s="234"/>
      <c r="E2735" s="213"/>
      <c r="F2735" s="213"/>
      <c r="G2735" s="219"/>
    </row>
    <row r="2736" spans="2:13" x14ac:dyDescent="0.25">
      <c r="B2736" s="214" t="s">
        <v>33</v>
      </c>
      <c r="C2736" s="215">
        <v>0</v>
      </c>
      <c r="D2736" s="216">
        <v>0</v>
      </c>
      <c r="E2736" s="212">
        <f>0-D2736</f>
        <v>0</v>
      </c>
      <c r="F2736" s="212">
        <f t="shared" ref="F2736" si="189">D2736+E2736</f>
        <v>0</v>
      </c>
      <c r="G2736" s="218">
        <f>C2736-D2736-E2736</f>
        <v>0</v>
      </c>
    </row>
    <row r="2737" spans="2:13" ht="15.75" thickBot="1" x14ac:dyDescent="0.3">
      <c r="B2737" s="214"/>
      <c r="C2737" s="215"/>
      <c r="D2737" s="234"/>
      <c r="E2737" s="213"/>
      <c r="F2737" s="213"/>
      <c r="G2737" s="219"/>
    </row>
    <row r="2738" spans="2:13" x14ac:dyDescent="0.25">
      <c r="B2738" s="214" t="s">
        <v>34</v>
      </c>
      <c r="C2738" s="215">
        <v>0</v>
      </c>
      <c r="D2738" s="216">
        <v>0</v>
      </c>
      <c r="E2738" s="212">
        <f>-D2738</f>
        <v>0</v>
      </c>
      <c r="F2738" s="212">
        <f t="shared" ref="F2738" si="190">D2738+E2738</f>
        <v>0</v>
      </c>
      <c r="G2738" s="218">
        <f>C2738-D2738-E2738</f>
        <v>0</v>
      </c>
    </row>
    <row r="2739" spans="2:13" ht="15.75" thickBot="1" x14ac:dyDescent="0.3">
      <c r="B2739" s="214"/>
      <c r="C2739" s="215"/>
      <c r="D2739" s="234"/>
      <c r="E2739" s="213"/>
      <c r="F2739" s="213"/>
      <c r="G2739" s="219"/>
    </row>
    <row r="2740" spans="2:13" x14ac:dyDescent="0.25">
      <c r="B2740" s="214" t="s">
        <v>35</v>
      </c>
      <c r="C2740" s="215">
        <v>24022.77</v>
      </c>
      <c r="D2740" s="216">
        <v>0</v>
      </c>
      <c r="E2740" s="212">
        <f>-D2740</f>
        <v>0</v>
      </c>
      <c r="F2740" s="212">
        <f t="shared" ref="F2740" si="191">D2740+E2740</f>
        <v>0</v>
      </c>
      <c r="G2740" s="218">
        <f>C2740-D2740-E2740</f>
        <v>24022.77</v>
      </c>
    </row>
    <row r="2741" spans="2:13" ht="15.75" thickBot="1" x14ac:dyDescent="0.3">
      <c r="B2741" s="214"/>
      <c r="C2741" s="215"/>
      <c r="D2741" s="234"/>
      <c r="E2741" s="213"/>
      <c r="F2741" s="213"/>
      <c r="G2741" s="219"/>
    </row>
    <row r="2742" spans="2:13" ht="30.75" thickBot="1" x14ac:dyDescent="0.3">
      <c r="B2742" s="214" t="s">
        <v>36</v>
      </c>
      <c r="C2742" s="215">
        <v>330084.15999999997</v>
      </c>
      <c r="D2742" s="216">
        <v>280122.07</v>
      </c>
      <c r="E2742" s="212">
        <f>280122.07-D2742</f>
        <v>0</v>
      </c>
      <c r="F2742" s="212">
        <f t="shared" ref="F2742" si="192">D2742+E2742</f>
        <v>280122.07</v>
      </c>
      <c r="G2742" s="218">
        <f>C2742-D2742-E2742</f>
        <v>49962.089999999967</v>
      </c>
      <c r="H2742" s="155" t="s">
        <v>67</v>
      </c>
      <c r="I2742" s="154" t="s">
        <v>60</v>
      </c>
      <c r="J2742" s="120" t="s">
        <v>61</v>
      </c>
      <c r="K2742" s="126" t="s">
        <v>66</v>
      </c>
      <c r="L2742" s="127" t="s">
        <v>62</v>
      </c>
      <c r="M2742" s="128" t="s">
        <v>63</v>
      </c>
    </row>
    <row r="2743" spans="2:13" ht="15.75" thickBot="1" x14ac:dyDescent="0.3">
      <c r="B2743" s="220"/>
      <c r="C2743" s="221"/>
      <c r="D2743" s="244"/>
      <c r="E2743" s="213"/>
      <c r="F2743" s="213"/>
      <c r="G2743" s="219"/>
      <c r="H2743" s="62">
        <v>100</v>
      </c>
      <c r="I2743" s="63">
        <f>I2744*100/H2744</f>
        <v>85.985095643148227</v>
      </c>
      <c r="J2743" s="63">
        <f>J2744*100/H2744</f>
        <v>0.51972191900489351</v>
      </c>
      <c r="K2743" s="64">
        <f>(D2744+E2744)*100/C2744</f>
        <v>86.504817562153121</v>
      </c>
      <c r="L2743" s="91">
        <f>G2744*100/C2744</f>
        <v>13.495182437846877</v>
      </c>
      <c r="M2743" s="97">
        <f>M2744*100/H2744</f>
        <v>14.014904356851771</v>
      </c>
    </row>
    <row r="2744" spans="2:13" ht="15.75" thickBot="1" x14ac:dyDescent="0.3">
      <c r="B2744" s="14" t="s">
        <v>22</v>
      </c>
      <c r="C2744" s="15">
        <f>SUM(C2728:C2743)</f>
        <v>548231.6399999999</v>
      </c>
      <c r="D2744" s="15">
        <f>SUM(D2728:D2742)</f>
        <v>471397.5</v>
      </c>
      <c r="E2744" s="16">
        <f>SUM(E2728:E2743)</f>
        <v>2849.2799999999988</v>
      </c>
      <c r="F2744" s="16">
        <f>SUM(F2728:F2743)</f>
        <v>474246.78</v>
      </c>
      <c r="G2744" s="46">
        <f>C2744-D2744-E2744</f>
        <v>73984.859999999899</v>
      </c>
      <c r="H2744" s="80">
        <f>K2744+L2744</f>
        <v>548231.6399999999</v>
      </c>
      <c r="I2744" s="81">
        <f>+D2744</f>
        <v>471397.5</v>
      </c>
      <c r="J2744" s="81">
        <f>+E2744</f>
        <v>2849.2799999999988</v>
      </c>
      <c r="K2744" s="82">
        <f>D2744+E2744</f>
        <v>474246.78</v>
      </c>
      <c r="L2744" s="95">
        <f>+G2744</f>
        <v>73984.859999999899</v>
      </c>
      <c r="M2744" s="97">
        <f>H2744-I2744</f>
        <v>76834.139999999898</v>
      </c>
    </row>
    <row r="2745" spans="2:13" ht="15.75" thickBot="1" x14ac:dyDescent="0.3">
      <c r="B2745" s="17" t="s">
        <v>23</v>
      </c>
      <c r="C2745" s="18">
        <f>C2727+C2744</f>
        <v>6371165.6699999999</v>
      </c>
      <c r="D2745" s="19">
        <f>D2744+D2727</f>
        <v>2017917.0999999999</v>
      </c>
      <c r="E2745" s="20">
        <f>E2727+E2744</f>
        <v>303301.39000000013</v>
      </c>
      <c r="F2745" s="20">
        <f>F2727+F2744</f>
        <v>2321218.4900000002</v>
      </c>
      <c r="G2745" s="28">
        <f>C2745-D2745-E2745</f>
        <v>4049947.18</v>
      </c>
      <c r="H2745" s="50">
        <f>+C2745</f>
        <v>6371165.6699999999</v>
      </c>
      <c r="I2745" s="51">
        <f>+D2745</f>
        <v>2017917.0999999999</v>
      </c>
      <c r="J2745" s="51">
        <f>+E2745</f>
        <v>303301.39000000013</v>
      </c>
      <c r="K2745" s="51">
        <f>I2745+J2745</f>
        <v>2321218.4900000002</v>
      </c>
      <c r="L2745" s="100">
        <f>H2745-K2745</f>
        <v>4049947.1799999997</v>
      </c>
      <c r="M2745" s="97">
        <f>H2745-I2745</f>
        <v>4353248.57</v>
      </c>
    </row>
    <row r="2746" spans="2:13" ht="15.75" thickBot="1" x14ac:dyDescent="0.3">
      <c r="B2746" s="12"/>
      <c r="C2746" s="13"/>
      <c r="D2746" s="12"/>
      <c r="E2746" s="12"/>
      <c r="F2746" s="12"/>
      <c r="G2746" s="12"/>
      <c r="H2746" s="129">
        <v>100</v>
      </c>
      <c r="I2746" s="130">
        <f>I2745*100/H2745</f>
        <v>31.672651513392527</v>
      </c>
      <c r="J2746" s="130">
        <f>J2745*100/H2745</f>
        <v>4.7605321492134447</v>
      </c>
      <c r="K2746" s="130">
        <f>K2745*100/H2745</f>
        <v>36.43318366260597</v>
      </c>
      <c r="L2746" s="131">
        <f>L2745*100/H2745</f>
        <v>63.56681633739403</v>
      </c>
      <c r="M2746" s="132">
        <f>M2745*100/H2745</f>
        <v>68.327348486607477</v>
      </c>
    </row>
    <row r="2747" spans="2:13" x14ac:dyDescent="0.25">
      <c r="B2747" s="12"/>
      <c r="C2747" s="13"/>
      <c r="D2747" s="12"/>
      <c r="E2747" s="12"/>
      <c r="F2747" s="12"/>
      <c r="G2747" s="12"/>
    </row>
    <row r="2748" spans="2:13" x14ac:dyDescent="0.25">
      <c r="B2748" s="12"/>
      <c r="C2748" s="13"/>
      <c r="D2748" s="12"/>
      <c r="E2748" s="12"/>
      <c r="F2748" s="12"/>
      <c r="G2748" s="12"/>
    </row>
    <row r="2749" spans="2:13" x14ac:dyDescent="0.25">
      <c r="B2749" s="12"/>
      <c r="C2749" s="13"/>
      <c r="D2749" s="12"/>
      <c r="E2749" s="12"/>
      <c r="F2749" s="12"/>
      <c r="G2749" s="12"/>
    </row>
    <row r="2750" spans="2:13" x14ac:dyDescent="0.25">
      <c r="B2750" s="12"/>
      <c r="C2750" s="13"/>
      <c r="D2750" s="12"/>
      <c r="E2750" s="12"/>
      <c r="F2750" s="12"/>
      <c r="G2750" s="12"/>
    </row>
    <row r="2751" spans="2:13" x14ac:dyDescent="0.25">
      <c r="B2751" s="12"/>
      <c r="C2751" s="13"/>
      <c r="D2751" s="12"/>
      <c r="E2751" s="12"/>
      <c r="F2751" s="12"/>
      <c r="G2751" s="12"/>
    </row>
    <row r="2752" spans="2:13" x14ac:dyDescent="0.25">
      <c r="B2752" s="12"/>
      <c r="C2752" s="13"/>
      <c r="D2752" s="12"/>
      <c r="E2752" s="12"/>
      <c r="F2752" s="12"/>
      <c r="G2752" s="12"/>
    </row>
    <row r="2753" spans="2:7" x14ac:dyDescent="0.25">
      <c r="B2753" s="12"/>
      <c r="C2753" s="13"/>
      <c r="D2753" s="12"/>
      <c r="E2753" s="12"/>
      <c r="F2753" s="12"/>
      <c r="G2753" s="12"/>
    </row>
    <row r="2754" spans="2:7" x14ac:dyDescent="0.25">
      <c r="B2754" s="12"/>
      <c r="C2754" s="13"/>
      <c r="D2754" s="12"/>
      <c r="E2754" s="12"/>
      <c r="F2754" s="12"/>
      <c r="G2754" s="12"/>
    </row>
    <row r="2755" spans="2:7" x14ac:dyDescent="0.25">
      <c r="B2755" s="12"/>
      <c r="C2755" s="13"/>
      <c r="D2755" s="12"/>
      <c r="E2755" s="12"/>
      <c r="F2755" s="12"/>
      <c r="G2755" s="12"/>
    </row>
    <row r="2756" spans="2:7" x14ac:dyDescent="0.25">
      <c r="B2756" s="12"/>
      <c r="C2756" s="13"/>
      <c r="D2756" s="12"/>
      <c r="E2756" s="12"/>
      <c r="F2756" s="12"/>
      <c r="G2756" s="12"/>
    </row>
    <row r="2757" spans="2:7" x14ac:dyDescent="0.25">
      <c r="B2757" s="12"/>
      <c r="C2757" s="13"/>
      <c r="D2757" s="12"/>
      <c r="E2757" s="12"/>
      <c r="F2757" s="12"/>
      <c r="G2757" s="12"/>
    </row>
    <row r="2758" spans="2:7" x14ac:dyDescent="0.25">
      <c r="B2758" s="12"/>
      <c r="C2758" s="13"/>
      <c r="D2758" s="12"/>
      <c r="E2758" s="12"/>
      <c r="F2758" s="12"/>
      <c r="G2758" s="12"/>
    </row>
    <row r="2759" spans="2:7" x14ac:dyDescent="0.25">
      <c r="B2759" s="12"/>
      <c r="C2759" s="13"/>
      <c r="D2759" s="12"/>
      <c r="E2759" s="12"/>
      <c r="F2759" s="12"/>
      <c r="G2759" s="12"/>
    </row>
    <row r="2760" spans="2:7" x14ac:dyDescent="0.25">
      <c r="B2760" s="12"/>
      <c r="C2760" s="13"/>
      <c r="D2760" s="12"/>
      <c r="E2760" s="12"/>
      <c r="F2760" s="12"/>
      <c r="G2760" s="12"/>
    </row>
    <row r="2761" spans="2:7" x14ac:dyDescent="0.25">
      <c r="B2761" s="12"/>
      <c r="C2761" s="13"/>
      <c r="D2761" s="12"/>
      <c r="E2761" s="12"/>
      <c r="F2761" s="12"/>
      <c r="G2761" s="12"/>
    </row>
    <row r="2762" spans="2:7" x14ac:dyDescent="0.25">
      <c r="B2762" s="12"/>
      <c r="C2762" s="13"/>
      <c r="D2762" s="12"/>
      <c r="E2762" s="12"/>
      <c r="F2762" s="12"/>
      <c r="G2762" s="12"/>
    </row>
    <row r="2763" spans="2:7" x14ac:dyDescent="0.25">
      <c r="B2763" s="12"/>
      <c r="C2763" s="13"/>
      <c r="D2763" s="12"/>
      <c r="E2763" s="12"/>
      <c r="F2763" s="12"/>
      <c r="G2763" s="12"/>
    </row>
    <row r="2764" spans="2:7" x14ac:dyDescent="0.25">
      <c r="B2764" s="225" t="s">
        <v>0</v>
      </c>
      <c r="C2764" s="225"/>
      <c r="D2764" s="225"/>
      <c r="E2764" s="225"/>
      <c r="F2764" s="225"/>
      <c r="G2764" s="225"/>
    </row>
    <row r="2765" spans="2:7" x14ac:dyDescent="0.25">
      <c r="B2765" s="225" t="s">
        <v>1</v>
      </c>
      <c r="C2765" s="225"/>
      <c r="D2765" s="225"/>
      <c r="E2765" s="225"/>
      <c r="F2765" s="225"/>
      <c r="G2765" s="225"/>
    </row>
    <row r="2766" spans="2:7" x14ac:dyDescent="0.25">
      <c r="B2766" s="225" t="s">
        <v>56</v>
      </c>
      <c r="C2766" s="225"/>
      <c r="D2766" s="225"/>
      <c r="E2766" s="225"/>
      <c r="F2766" s="225"/>
      <c r="G2766" s="225"/>
    </row>
    <row r="2767" spans="2:7" x14ac:dyDescent="0.25">
      <c r="B2767" s="225" t="s">
        <v>57</v>
      </c>
      <c r="C2767" s="225"/>
      <c r="D2767" s="225"/>
      <c r="E2767" s="225"/>
      <c r="F2767" s="225"/>
      <c r="G2767" s="225"/>
    </row>
    <row r="2768" spans="2:7" x14ac:dyDescent="0.25">
      <c r="B2768" s="225" t="s">
        <v>124</v>
      </c>
      <c r="C2768" s="225"/>
      <c r="D2768" s="225"/>
      <c r="E2768" s="225"/>
      <c r="F2768" s="225"/>
      <c r="G2768" s="225"/>
    </row>
    <row r="2769" spans="2:12" ht="15.75" thickBot="1" x14ac:dyDescent="0.3">
      <c r="B2769" s="12"/>
      <c r="C2769" s="13"/>
      <c r="D2769" s="12"/>
      <c r="E2769" s="12"/>
      <c r="F2769" s="12"/>
      <c r="G2769" s="12"/>
    </row>
    <row r="2770" spans="2:12" ht="36.75" thickBot="1" x14ac:dyDescent="0.3">
      <c r="B2770" s="185"/>
      <c r="C2770" s="184" t="s">
        <v>5</v>
      </c>
      <c r="D2770" s="161" t="s">
        <v>72</v>
      </c>
      <c r="E2770" s="172" t="s">
        <v>6</v>
      </c>
      <c r="F2770" s="161" t="s">
        <v>60</v>
      </c>
      <c r="G2770" s="172" t="s">
        <v>7</v>
      </c>
      <c r="H2770" s="180" t="s">
        <v>98</v>
      </c>
      <c r="I2770" s="172" t="s">
        <v>65</v>
      </c>
      <c r="J2770" s="180" t="s">
        <v>99</v>
      </c>
      <c r="K2770" s="177" t="s">
        <v>8</v>
      </c>
      <c r="L2770" s="181" t="s">
        <v>100</v>
      </c>
    </row>
    <row r="2771" spans="2:12" ht="15.75" thickBot="1" x14ac:dyDescent="0.3">
      <c r="B2771" s="194" t="s">
        <v>104</v>
      </c>
      <c r="C2771" s="182">
        <v>6371165.6699999999</v>
      </c>
      <c r="D2771" s="174">
        <v>1</v>
      </c>
      <c r="E2771" s="170">
        <v>2017917.1</v>
      </c>
      <c r="F2771" s="175">
        <f>E2771/C2771</f>
        <v>0.31672651513392525</v>
      </c>
      <c r="G2771" s="170">
        <v>303301.39</v>
      </c>
      <c r="H2771" s="175">
        <f>G2771/C2771</f>
        <v>4.7605321492134423E-2</v>
      </c>
      <c r="I2771" s="170">
        <f>E2771+G2771</f>
        <v>2321218.4900000002</v>
      </c>
      <c r="J2771" s="175">
        <f>I2771/C2771</f>
        <v>0.36433183662605972</v>
      </c>
      <c r="K2771" s="189">
        <f>C2771-I2771</f>
        <v>4049947.1799999997</v>
      </c>
      <c r="L2771" s="190">
        <f>K2771/C2771</f>
        <v>0.63566816337394028</v>
      </c>
    </row>
    <row r="2772" spans="2:12" x14ac:dyDescent="0.25">
      <c r="B2772" s="12"/>
      <c r="C2772" s="13"/>
      <c r="D2772" s="12"/>
      <c r="E2772" s="12"/>
      <c r="F2772" s="12"/>
      <c r="G2772" s="12"/>
    </row>
    <row r="2773" spans="2:12" x14ac:dyDescent="0.25">
      <c r="B2773" s="12"/>
      <c r="C2773" s="13"/>
      <c r="D2773" s="12"/>
      <c r="E2773" s="12"/>
      <c r="F2773" s="12"/>
      <c r="G2773" s="12"/>
    </row>
    <row r="2774" spans="2:12" x14ac:dyDescent="0.25">
      <c r="B2774" s="12"/>
      <c r="C2774" s="13"/>
      <c r="D2774" s="12"/>
      <c r="E2774" s="12"/>
      <c r="F2774" s="12"/>
      <c r="G2774" s="12"/>
    </row>
    <row r="2775" spans="2:12" x14ac:dyDescent="0.25">
      <c r="B2775" s="12"/>
      <c r="C2775" s="13"/>
      <c r="D2775" s="12"/>
      <c r="E2775" s="12"/>
      <c r="F2775" s="12"/>
      <c r="G2775" s="12"/>
    </row>
    <row r="2776" spans="2:12" x14ac:dyDescent="0.25">
      <c r="B2776" s="12"/>
      <c r="C2776" s="13"/>
      <c r="D2776" s="12"/>
      <c r="E2776" s="12"/>
      <c r="F2776" s="12"/>
      <c r="G2776" s="12"/>
    </row>
    <row r="2777" spans="2:12" x14ac:dyDescent="0.25">
      <c r="B2777" s="12"/>
      <c r="C2777" s="13"/>
      <c r="D2777" s="12"/>
      <c r="E2777" s="12"/>
      <c r="F2777" s="12"/>
      <c r="G2777" s="12"/>
    </row>
    <row r="2778" spans="2:12" x14ac:dyDescent="0.25">
      <c r="B2778" s="12"/>
      <c r="C2778" s="13"/>
      <c r="D2778" s="12"/>
      <c r="E2778" s="12"/>
      <c r="F2778" s="12"/>
      <c r="G2778" s="12"/>
    </row>
    <row r="2779" spans="2:12" x14ac:dyDescent="0.25">
      <c r="B2779" s="12"/>
      <c r="C2779" s="13"/>
      <c r="D2779" s="12"/>
      <c r="E2779" s="12"/>
      <c r="F2779" s="12"/>
      <c r="G2779" s="12"/>
    </row>
    <row r="2780" spans="2:12" x14ac:dyDescent="0.25">
      <c r="B2780" s="12"/>
      <c r="C2780" s="13"/>
      <c r="D2780" s="12"/>
      <c r="E2780" s="12"/>
      <c r="F2780" s="12"/>
      <c r="G2780" s="12"/>
    </row>
    <row r="2781" spans="2:12" x14ac:dyDescent="0.25">
      <c r="B2781" s="12"/>
      <c r="C2781" s="13"/>
      <c r="D2781" s="12"/>
      <c r="E2781" s="12"/>
      <c r="F2781" s="12"/>
      <c r="G2781" s="12"/>
    </row>
    <row r="2782" spans="2:12" x14ac:dyDescent="0.25">
      <c r="B2782" s="12"/>
      <c r="C2782" s="13"/>
      <c r="D2782" s="12"/>
      <c r="E2782" s="12"/>
      <c r="F2782" s="12"/>
      <c r="G2782" s="12"/>
    </row>
    <row r="2783" spans="2:12" x14ac:dyDescent="0.25">
      <c r="B2783" s="12"/>
      <c r="C2783" s="13"/>
      <c r="D2783" s="12"/>
      <c r="E2783" s="12"/>
      <c r="F2783" s="12"/>
      <c r="G2783" s="12"/>
    </row>
    <row r="2784" spans="2:12" x14ac:dyDescent="0.25">
      <c r="B2784" s="12"/>
      <c r="C2784" s="13"/>
      <c r="D2784" s="12"/>
      <c r="E2784" s="12"/>
      <c r="F2784" s="12"/>
      <c r="G2784" s="12"/>
    </row>
    <row r="2785" spans="2:7" x14ac:dyDescent="0.25">
      <c r="B2785" s="12"/>
      <c r="C2785" s="13"/>
      <c r="D2785" s="12"/>
      <c r="E2785" s="12"/>
      <c r="F2785" s="12"/>
      <c r="G2785" s="12"/>
    </row>
    <row r="2786" spans="2:7" x14ac:dyDescent="0.25">
      <c r="B2786" s="12"/>
      <c r="C2786" s="13"/>
      <c r="D2786" s="12"/>
      <c r="E2786" s="12"/>
      <c r="F2786" s="12"/>
      <c r="G2786" s="12"/>
    </row>
    <row r="2787" spans="2:7" x14ac:dyDescent="0.25">
      <c r="B2787" s="12"/>
      <c r="C2787" s="13"/>
      <c r="D2787" s="12"/>
      <c r="E2787" s="12"/>
      <c r="F2787" s="12"/>
      <c r="G2787" s="12"/>
    </row>
    <row r="2788" spans="2:7" x14ac:dyDescent="0.25">
      <c r="B2788" s="12"/>
      <c r="C2788" s="13"/>
      <c r="D2788" s="12"/>
      <c r="E2788" s="12"/>
      <c r="F2788" s="12"/>
      <c r="G2788" s="12"/>
    </row>
    <row r="2789" spans="2:7" x14ac:dyDescent="0.25">
      <c r="B2789" s="12"/>
      <c r="C2789" s="13"/>
      <c r="D2789" s="12"/>
      <c r="E2789" s="12"/>
      <c r="F2789" s="12"/>
      <c r="G2789" s="12"/>
    </row>
    <row r="2790" spans="2:7" x14ac:dyDescent="0.25">
      <c r="B2790" s="12"/>
      <c r="C2790" s="13"/>
      <c r="D2790" s="12"/>
      <c r="E2790" s="12"/>
      <c r="F2790" s="12"/>
      <c r="G2790" s="12"/>
    </row>
    <row r="2791" spans="2:7" x14ac:dyDescent="0.25">
      <c r="B2791" s="12"/>
      <c r="C2791" s="13"/>
      <c r="D2791" s="12"/>
      <c r="E2791" s="12"/>
      <c r="F2791" s="12"/>
      <c r="G2791" s="12"/>
    </row>
    <row r="2792" spans="2:7" x14ac:dyDescent="0.25">
      <c r="B2792" s="12"/>
      <c r="C2792" s="13"/>
      <c r="D2792" s="12"/>
      <c r="E2792" s="12"/>
      <c r="F2792" s="12"/>
      <c r="G2792" s="12"/>
    </row>
    <row r="2793" spans="2:7" x14ac:dyDescent="0.25">
      <c r="B2793" s="12"/>
      <c r="C2793" s="13"/>
      <c r="D2793" s="12"/>
      <c r="E2793" s="12"/>
      <c r="F2793" s="12"/>
      <c r="G2793" s="12"/>
    </row>
    <row r="2794" spans="2:7" x14ac:dyDescent="0.25">
      <c r="B2794" s="12"/>
      <c r="C2794" s="13"/>
      <c r="D2794" s="12"/>
      <c r="E2794" s="12"/>
      <c r="F2794" s="12"/>
      <c r="G2794" s="12"/>
    </row>
    <row r="2795" spans="2:7" x14ac:dyDescent="0.25">
      <c r="B2795" s="12"/>
      <c r="C2795" s="13"/>
      <c r="D2795" s="12"/>
      <c r="E2795" s="12"/>
      <c r="F2795" s="12"/>
      <c r="G2795" s="12"/>
    </row>
    <row r="2796" spans="2:7" x14ac:dyDescent="0.25">
      <c r="B2796" s="12"/>
      <c r="C2796" s="13"/>
      <c r="D2796" s="12"/>
      <c r="E2796" s="12"/>
      <c r="F2796" s="12"/>
      <c r="G2796" s="12"/>
    </row>
    <row r="2797" spans="2:7" x14ac:dyDescent="0.25">
      <c r="B2797" s="12"/>
      <c r="C2797" s="13"/>
      <c r="D2797" s="12"/>
      <c r="E2797" s="12"/>
      <c r="F2797" s="12"/>
      <c r="G2797" s="12"/>
    </row>
    <row r="2798" spans="2:7" x14ac:dyDescent="0.25">
      <c r="B2798" s="12"/>
      <c r="C2798" s="13"/>
      <c r="D2798" s="12"/>
      <c r="E2798" s="12"/>
      <c r="F2798" s="12"/>
      <c r="G2798" s="12"/>
    </row>
    <row r="2799" spans="2:7" x14ac:dyDescent="0.25">
      <c r="B2799" s="12"/>
      <c r="C2799" s="13"/>
      <c r="D2799" s="12"/>
      <c r="E2799" s="12"/>
      <c r="F2799" s="12"/>
      <c r="G2799" s="12"/>
    </row>
    <row r="2800" spans="2:7" x14ac:dyDescent="0.25">
      <c r="B2800" s="12"/>
      <c r="C2800" s="13"/>
      <c r="D2800" s="12"/>
      <c r="E2800" s="12"/>
      <c r="F2800" s="12"/>
      <c r="G2800" s="12"/>
    </row>
    <row r="2801" spans="2:7" x14ac:dyDescent="0.25">
      <c r="B2801" s="12"/>
      <c r="C2801" s="13"/>
      <c r="D2801" s="12"/>
      <c r="E2801" s="12"/>
      <c r="F2801" s="12"/>
      <c r="G2801" s="12"/>
    </row>
    <row r="2802" spans="2:7" x14ac:dyDescent="0.25">
      <c r="B2802" s="12"/>
      <c r="C2802" s="13"/>
      <c r="D2802" s="12"/>
      <c r="E2802" s="12"/>
      <c r="F2802" s="12"/>
      <c r="G2802" s="12"/>
    </row>
    <row r="2803" spans="2:7" x14ac:dyDescent="0.25">
      <c r="B2803" s="12"/>
      <c r="C2803" s="13"/>
      <c r="D2803" s="12"/>
      <c r="E2803" s="12"/>
      <c r="F2803" s="12"/>
      <c r="G2803" s="12"/>
    </row>
    <row r="2804" spans="2:7" x14ac:dyDescent="0.25">
      <c r="B2804" s="12"/>
      <c r="C2804" s="13"/>
      <c r="D2804" s="12"/>
      <c r="E2804" s="12"/>
      <c r="F2804" s="12"/>
      <c r="G2804" s="12"/>
    </row>
    <row r="2805" spans="2:7" x14ac:dyDescent="0.25">
      <c r="B2805" s="12"/>
      <c r="C2805" s="13"/>
      <c r="D2805" s="12"/>
      <c r="E2805" s="12"/>
      <c r="F2805" s="12"/>
      <c r="G2805" s="12"/>
    </row>
    <row r="2806" spans="2:7" x14ac:dyDescent="0.25">
      <c r="B2806" s="12"/>
      <c r="C2806" s="13"/>
      <c r="D2806" s="12"/>
      <c r="E2806" s="12"/>
      <c r="F2806" s="12"/>
      <c r="G2806" s="12"/>
    </row>
    <row r="2807" spans="2:7" x14ac:dyDescent="0.25">
      <c r="B2807" s="12"/>
      <c r="C2807" s="13"/>
      <c r="D2807" s="12"/>
      <c r="E2807" s="12"/>
      <c r="F2807" s="12"/>
      <c r="G2807" s="12"/>
    </row>
    <row r="2808" spans="2:7" x14ac:dyDescent="0.25">
      <c r="B2808" s="12"/>
      <c r="C2808" s="13"/>
      <c r="D2808" s="12"/>
      <c r="E2808" s="12"/>
      <c r="F2808" s="12"/>
      <c r="G2808" s="12"/>
    </row>
    <row r="2809" spans="2:7" x14ac:dyDescent="0.25">
      <c r="B2809" s="12"/>
      <c r="C2809" s="13"/>
      <c r="D2809" s="12"/>
      <c r="E2809" s="12"/>
      <c r="F2809" s="12"/>
      <c r="G2809" s="12"/>
    </row>
    <row r="2810" spans="2:7" x14ac:dyDescent="0.25">
      <c r="B2810" s="12"/>
      <c r="C2810" s="13"/>
      <c r="D2810" s="12"/>
      <c r="E2810" s="12"/>
      <c r="F2810" s="12"/>
      <c r="G2810" s="12"/>
    </row>
    <row r="2811" spans="2:7" x14ac:dyDescent="0.25">
      <c r="B2811" s="12"/>
      <c r="C2811" s="13"/>
      <c r="D2811" s="12"/>
      <c r="E2811" s="12"/>
      <c r="F2811" s="12"/>
      <c r="G2811" s="12"/>
    </row>
    <row r="2812" spans="2:7" x14ac:dyDescent="0.25">
      <c r="B2812" s="12"/>
      <c r="C2812" s="13"/>
      <c r="D2812" s="12"/>
      <c r="E2812" s="12"/>
      <c r="F2812" s="12"/>
      <c r="G2812" s="12"/>
    </row>
    <row r="2813" spans="2:7" x14ac:dyDescent="0.25">
      <c r="B2813" s="12"/>
      <c r="C2813" s="13"/>
      <c r="D2813" s="12"/>
      <c r="E2813" s="12"/>
      <c r="F2813" s="12"/>
      <c r="G2813" s="12"/>
    </row>
    <row r="2814" spans="2:7" x14ac:dyDescent="0.25">
      <c r="B2814" s="12"/>
      <c r="C2814" s="13"/>
      <c r="D2814" s="12"/>
      <c r="E2814" s="12"/>
      <c r="F2814" s="12"/>
      <c r="G2814" s="12"/>
    </row>
    <row r="2815" spans="2:7" x14ac:dyDescent="0.25">
      <c r="B2815" s="12"/>
      <c r="C2815" s="13"/>
      <c r="D2815" s="12"/>
      <c r="E2815" s="12"/>
      <c r="F2815" s="12"/>
      <c r="G2815" s="12"/>
    </row>
    <row r="2816" spans="2:7" x14ac:dyDescent="0.25">
      <c r="B2816" s="12"/>
      <c r="C2816" s="13"/>
      <c r="D2816" s="12"/>
      <c r="E2816" s="12"/>
      <c r="F2816" s="12"/>
      <c r="G2816" s="12"/>
    </row>
    <row r="2817" spans="2:13" x14ac:dyDescent="0.25">
      <c r="B2817" s="12"/>
      <c r="C2817" s="13"/>
      <c r="D2817" s="12"/>
      <c r="E2817" s="12"/>
      <c r="F2817" s="12"/>
      <c r="G2817" s="12"/>
    </row>
    <row r="2818" spans="2:13" x14ac:dyDescent="0.25">
      <c r="B2818" s="225" t="s">
        <v>0</v>
      </c>
      <c r="C2818" s="225"/>
      <c r="D2818" s="225"/>
      <c r="E2818" s="225"/>
      <c r="F2818" s="225"/>
      <c r="G2818" s="225"/>
    </row>
    <row r="2819" spans="2:13" x14ac:dyDescent="0.25">
      <c r="B2819" s="225" t="s">
        <v>1</v>
      </c>
      <c r="C2819" s="225"/>
      <c r="D2819" s="225"/>
      <c r="E2819" s="225"/>
      <c r="F2819" s="225"/>
      <c r="G2819" s="225"/>
    </row>
    <row r="2820" spans="2:13" x14ac:dyDescent="0.25">
      <c r="B2820" s="225" t="s">
        <v>56</v>
      </c>
      <c r="C2820" s="225"/>
      <c r="D2820" s="225"/>
      <c r="E2820" s="225"/>
      <c r="F2820" s="225"/>
      <c r="G2820" s="225"/>
    </row>
    <row r="2821" spans="2:13" x14ac:dyDescent="0.25">
      <c r="B2821" s="225" t="s">
        <v>59</v>
      </c>
      <c r="C2821" s="225"/>
      <c r="D2821" s="225"/>
      <c r="E2821" s="225"/>
      <c r="F2821" s="225"/>
      <c r="G2821" s="225"/>
    </row>
    <row r="2822" spans="2:13" x14ac:dyDescent="0.25">
      <c r="B2822" s="225" t="s">
        <v>124</v>
      </c>
      <c r="C2822" s="225"/>
      <c r="D2822" s="225"/>
      <c r="E2822" s="225"/>
      <c r="F2822" s="225"/>
      <c r="G2822" s="225"/>
    </row>
    <row r="2823" spans="2:13" ht="15.75" thickBot="1" x14ac:dyDescent="0.3">
      <c r="B2823" s="159"/>
      <c r="C2823" s="159"/>
      <c r="D2823" s="159"/>
      <c r="E2823" s="159"/>
      <c r="F2823" s="159"/>
      <c r="G2823" s="12"/>
    </row>
    <row r="2824" spans="2:13" ht="24.75" thickBot="1" x14ac:dyDescent="0.3">
      <c r="B2824" s="2" t="s">
        <v>4</v>
      </c>
      <c r="C2824" s="3" t="s">
        <v>5</v>
      </c>
      <c r="D2824" s="3" t="s">
        <v>6</v>
      </c>
      <c r="E2824" s="4" t="s">
        <v>7</v>
      </c>
      <c r="F2824" s="3" t="s">
        <v>65</v>
      </c>
      <c r="G2824" s="3" t="s">
        <v>8</v>
      </c>
    </row>
    <row r="2825" spans="2:13" x14ac:dyDescent="0.25">
      <c r="B2825" s="226" t="s">
        <v>25</v>
      </c>
      <c r="C2825" s="228">
        <v>0</v>
      </c>
      <c r="D2825" s="245">
        <v>0</v>
      </c>
      <c r="E2825" s="229">
        <f>0-D2825</f>
        <v>0</v>
      </c>
      <c r="F2825" s="228">
        <f>D2825+E2825</f>
        <v>0</v>
      </c>
      <c r="G2825" s="228">
        <f>C2825-D2825-E2825</f>
        <v>0</v>
      </c>
    </row>
    <row r="2826" spans="2:13" ht="15.75" thickBot="1" x14ac:dyDescent="0.3">
      <c r="B2826" s="227"/>
      <c r="C2826" s="215"/>
      <c r="D2826" s="234"/>
      <c r="E2826" s="230"/>
      <c r="F2826" s="215"/>
      <c r="G2826" s="215"/>
    </row>
    <row r="2827" spans="2:13" x14ac:dyDescent="0.25">
      <c r="B2827" s="231" t="s">
        <v>26</v>
      </c>
      <c r="C2827" s="215">
        <v>0</v>
      </c>
      <c r="D2827" s="216">
        <v>0</v>
      </c>
      <c r="E2827" s="229">
        <f>0-D2827</f>
        <v>0</v>
      </c>
      <c r="F2827" s="228">
        <f>D2827+E2827</f>
        <v>0</v>
      </c>
      <c r="G2827" s="228">
        <f>C2827-D2827-E2827</f>
        <v>0</v>
      </c>
    </row>
    <row r="2828" spans="2:13" ht="15.75" thickBot="1" x14ac:dyDescent="0.3">
      <c r="B2828" s="231"/>
      <c r="C2828" s="215"/>
      <c r="D2828" s="234"/>
      <c r="E2828" s="230"/>
      <c r="F2828" s="215"/>
      <c r="G2828" s="215"/>
    </row>
    <row r="2829" spans="2:13" x14ac:dyDescent="0.25">
      <c r="B2829" s="231" t="s">
        <v>27</v>
      </c>
      <c r="C2829" s="215">
        <v>631233.41</v>
      </c>
      <c r="D2829" s="216">
        <v>629978.29</v>
      </c>
      <c r="E2829" s="229">
        <f>629978.29-D2829</f>
        <v>0</v>
      </c>
      <c r="F2829" s="228">
        <f t="shared" ref="F2829" si="193">D2829+E2829</f>
        <v>629978.29</v>
      </c>
      <c r="G2829" s="228">
        <f>C2829-D2829-E2829</f>
        <v>1255.1199999999953</v>
      </c>
    </row>
    <row r="2830" spans="2:13" ht="15.75" thickBot="1" x14ac:dyDescent="0.3">
      <c r="B2830" s="231"/>
      <c r="C2830" s="215"/>
      <c r="D2830" s="234"/>
      <c r="E2830" s="230"/>
      <c r="F2830" s="215"/>
      <c r="G2830" s="215"/>
    </row>
    <row r="2831" spans="2:13" ht="30.75" thickBot="1" x14ac:dyDescent="0.3">
      <c r="B2831" s="231" t="s">
        <v>28</v>
      </c>
      <c r="C2831" s="215">
        <v>0</v>
      </c>
      <c r="D2831" s="216">
        <v>0</v>
      </c>
      <c r="E2831" s="229">
        <f>0-D2831</f>
        <v>0</v>
      </c>
      <c r="F2831" s="228">
        <f t="shared" ref="F2831" si="194">D2831+E2831</f>
        <v>0</v>
      </c>
      <c r="G2831" s="228">
        <f>C2831-D2831-E2831</f>
        <v>0</v>
      </c>
      <c r="H2831" s="155" t="s">
        <v>67</v>
      </c>
      <c r="I2831" s="154" t="s">
        <v>60</v>
      </c>
      <c r="J2831" s="120" t="s">
        <v>61</v>
      </c>
      <c r="K2831" s="126" t="s">
        <v>66</v>
      </c>
      <c r="L2831" s="127" t="s">
        <v>62</v>
      </c>
      <c r="M2831" s="128" t="s">
        <v>63</v>
      </c>
    </row>
    <row r="2832" spans="2:13" ht="15.75" thickBot="1" x14ac:dyDescent="0.3">
      <c r="B2832" s="232"/>
      <c r="C2832" s="216"/>
      <c r="D2832" s="244"/>
      <c r="E2832" s="230"/>
      <c r="F2832" s="215"/>
      <c r="G2832" s="239"/>
      <c r="H2832" s="58">
        <v>100</v>
      </c>
      <c r="I2832" s="59">
        <f>I2833*100/H2833</f>
        <v>99.801163883261495</v>
      </c>
      <c r="J2832" s="59">
        <f>J2833*100/H2833</f>
        <v>0</v>
      </c>
      <c r="K2832" s="59">
        <f>K2833*100/H2833</f>
        <v>99.801163883261495</v>
      </c>
      <c r="L2832" s="98">
        <f>L2833*100/H2833</f>
        <v>0.19883611673849699</v>
      </c>
      <c r="M2832" s="97">
        <f>M2833*100/H2833</f>
        <v>0.19883611673849699</v>
      </c>
    </row>
    <row r="2833" spans="2:13" ht="15.75" thickBot="1" x14ac:dyDescent="0.3">
      <c r="B2833" s="14" t="s">
        <v>13</v>
      </c>
      <c r="C2833" s="21">
        <f>SUM(C2825:C2832)</f>
        <v>631233.41</v>
      </c>
      <c r="D2833" s="21">
        <f>SUM(D2825:D2832)</f>
        <v>629978.29</v>
      </c>
      <c r="E2833" s="22">
        <f>SUM(E2825:E2832)</f>
        <v>0</v>
      </c>
      <c r="F2833" s="22">
        <f>SUM(F2825:F2832)</f>
        <v>629978.29</v>
      </c>
      <c r="G2833" s="46">
        <f>C2833-D2833-E2833</f>
        <v>1255.1199999999953</v>
      </c>
      <c r="H2833" s="80">
        <f>+C2833</f>
        <v>631233.41</v>
      </c>
      <c r="I2833" s="82">
        <f>+D2833</f>
        <v>629978.29</v>
      </c>
      <c r="J2833" s="82">
        <f>+E2833</f>
        <v>0</v>
      </c>
      <c r="K2833" s="82">
        <f>I2833+J2833</f>
        <v>629978.29</v>
      </c>
      <c r="L2833" s="95">
        <f>H2833-K2833</f>
        <v>1255.1199999999953</v>
      </c>
      <c r="M2833" s="99">
        <f>H2833-I2833</f>
        <v>1255.1199999999953</v>
      </c>
    </row>
    <row r="2834" spans="2:13" x14ac:dyDescent="0.25">
      <c r="B2834" s="224" t="s">
        <v>29</v>
      </c>
      <c r="C2834" s="234">
        <v>0</v>
      </c>
      <c r="D2834" s="245">
        <v>0</v>
      </c>
      <c r="E2834" s="223">
        <f>0-D2834</f>
        <v>0</v>
      </c>
      <c r="F2834" s="228">
        <f t="shared" ref="F2834" si="195">D2834+E2834</f>
        <v>0</v>
      </c>
      <c r="G2834" s="218">
        <f>C2834-D2834-E2834</f>
        <v>0</v>
      </c>
    </row>
    <row r="2835" spans="2:13" ht="15.75" thickBot="1" x14ac:dyDescent="0.3">
      <c r="B2835" s="214"/>
      <c r="C2835" s="215"/>
      <c r="D2835" s="234"/>
      <c r="E2835" s="213"/>
      <c r="F2835" s="215"/>
      <c r="G2835" s="219"/>
    </row>
    <row r="2836" spans="2:13" x14ac:dyDescent="0.25">
      <c r="B2836" s="214" t="s">
        <v>30</v>
      </c>
      <c r="C2836" s="215">
        <v>0</v>
      </c>
      <c r="D2836" s="216">
        <v>0</v>
      </c>
      <c r="E2836" s="212">
        <f>0-D2836</f>
        <v>0</v>
      </c>
      <c r="F2836" s="228">
        <f t="shared" ref="F2836" si="196">D2836+E2836</f>
        <v>0</v>
      </c>
      <c r="G2836" s="218">
        <f>C2836-D2836-E2836</f>
        <v>0</v>
      </c>
    </row>
    <row r="2837" spans="2:13" ht="15.75" thickBot="1" x14ac:dyDescent="0.3">
      <c r="B2837" s="214"/>
      <c r="C2837" s="215"/>
      <c r="D2837" s="234"/>
      <c r="E2837" s="213"/>
      <c r="F2837" s="215"/>
      <c r="G2837" s="219"/>
    </row>
    <row r="2838" spans="2:13" x14ac:dyDescent="0.25">
      <c r="B2838" s="214" t="s">
        <v>31</v>
      </c>
      <c r="C2838" s="215">
        <v>0</v>
      </c>
      <c r="D2838" s="216">
        <v>0</v>
      </c>
      <c r="E2838" s="212">
        <f>0-D2838</f>
        <v>0</v>
      </c>
      <c r="F2838" s="228">
        <f t="shared" ref="F2838" si="197">D2838+E2838</f>
        <v>0</v>
      </c>
      <c r="G2838" s="218">
        <f>C2838-D2838-E2838</f>
        <v>0</v>
      </c>
    </row>
    <row r="2839" spans="2:13" ht="15.75" thickBot="1" x14ac:dyDescent="0.3">
      <c r="B2839" s="214"/>
      <c r="C2839" s="215"/>
      <c r="D2839" s="234"/>
      <c r="E2839" s="213"/>
      <c r="F2839" s="215"/>
      <c r="G2839" s="219"/>
    </row>
    <row r="2840" spans="2:13" x14ac:dyDescent="0.25">
      <c r="B2840" s="214" t="s">
        <v>32</v>
      </c>
      <c r="C2840" s="215">
        <v>0</v>
      </c>
      <c r="D2840" s="216">
        <v>0</v>
      </c>
      <c r="E2840" s="212">
        <v>0</v>
      </c>
      <c r="F2840" s="228">
        <f t="shared" ref="F2840" si="198">D2840+E2840</f>
        <v>0</v>
      </c>
      <c r="G2840" s="218">
        <f>C2840-D2840-E2840</f>
        <v>0</v>
      </c>
    </row>
    <row r="2841" spans="2:13" ht="15.75" thickBot="1" x14ac:dyDescent="0.3">
      <c r="B2841" s="214"/>
      <c r="C2841" s="215"/>
      <c r="D2841" s="234"/>
      <c r="E2841" s="213"/>
      <c r="F2841" s="215"/>
      <c r="G2841" s="219"/>
    </row>
    <row r="2842" spans="2:13" x14ac:dyDescent="0.25">
      <c r="B2842" s="214" t="s">
        <v>33</v>
      </c>
      <c r="C2842" s="215">
        <v>0</v>
      </c>
      <c r="D2842" s="216">
        <v>0</v>
      </c>
      <c r="E2842" s="212">
        <f>0-D2842</f>
        <v>0</v>
      </c>
      <c r="F2842" s="228">
        <f t="shared" ref="F2842" si="199">D2842+E2842</f>
        <v>0</v>
      </c>
      <c r="G2842" s="218">
        <f>C2842-D2842-E2842</f>
        <v>0</v>
      </c>
    </row>
    <row r="2843" spans="2:13" ht="15.75" thickBot="1" x14ac:dyDescent="0.3">
      <c r="B2843" s="214"/>
      <c r="C2843" s="215"/>
      <c r="D2843" s="234"/>
      <c r="E2843" s="213"/>
      <c r="F2843" s="215"/>
      <c r="G2843" s="219"/>
    </row>
    <row r="2844" spans="2:13" x14ac:dyDescent="0.25">
      <c r="B2844" s="214" t="s">
        <v>34</v>
      </c>
      <c r="C2844" s="215">
        <v>973121.07</v>
      </c>
      <c r="D2844" s="216">
        <v>965215.39</v>
      </c>
      <c r="E2844" s="212">
        <f>965215.39-D2844</f>
        <v>0</v>
      </c>
      <c r="F2844" s="228">
        <f t="shared" ref="F2844" si="200">D2844+E2844</f>
        <v>965215.39</v>
      </c>
      <c r="G2844" s="218">
        <f>C2844-D2844-E2844</f>
        <v>7905.6799999999348</v>
      </c>
    </row>
    <row r="2845" spans="2:13" ht="15.75" thickBot="1" x14ac:dyDescent="0.3">
      <c r="B2845" s="214"/>
      <c r="C2845" s="215"/>
      <c r="D2845" s="234"/>
      <c r="E2845" s="213"/>
      <c r="F2845" s="215"/>
      <c r="G2845" s="219"/>
    </row>
    <row r="2846" spans="2:13" x14ac:dyDescent="0.25">
      <c r="B2846" s="214" t="s">
        <v>35</v>
      </c>
      <c r="C2846" s="215">
        <v>0</v>
      </c>
      <c r="D2846" s="216">
        <v>0</v>
      </c>
      <c r="E2846" s="212">
        <f>-D2846</f>
        <v>0</v>
      </c>
      <c r="F2846" s="228">
        <f t="shared" ref="F2846" si="201">D2846+E2846</f>
        <v>0</v>
      </c>
      <c r="G2846" s="218">
        <f>C2846-D2846-E2846</f>
        <v>0</v>
      </c>
    </row>
    <row r="2847" spans="2:13" ht="15.75" thickBot="1" x14ac:dyDescent="0.3">
      <c r="B2847" s="214"/>
      <c r="C2847" s="215"/>
      <c r="D2847" s="234"/>
      <c r="E2847" s="213"/>
      <c r="F2847" s="215"/>
      <c r="G2847" s="219"/>
    </row>
    <row r="2848" spans="2:13" ht="30.75" thickBot="1" x14ac:dyDescent="0.3">
      <c r="B2848" s="214" t="s">
        <v>36</v>
      </c>
      <c r="C2848" s="215">
        <v>0</v>
      </c>
      <c r="D2848" s="216">
        <v>0</v>
      </c>
      <c r="E2848" s="212">
        <f>0-D2848</f>
        <v>0</v>
      </c>
      <c r="F2848" s="228">
        <f t="shared" ref="F2848" si="202">D2848+E2848</f>
        <v>0</v>
      </c>
      <c r="G2848" s="218">
        <f>C2848-D2848-E2848</f>
        <v>0</v>
      </c>
      <c r="H2848" s="155" t="s">
        <v>67</v>
      </c>
      <c r="I2848" s="154" t="s">
        <v>60</v>
      </c>
      <c r="J2848" s="154" t="s">
        <v>61</v>
      </c>
      <c r="K2848" s="126" t="s">
        <v>66</v>
      </c>
      <c r="L2848" s="121" t="s">
        <v>62</v>
      </c>
      <c r="M2848" s="122" t="s">
        <v>63</v>
      </c>
    </row>
    <row r="2849" spans="2:13" ht="15.75" thickBot="1" x14ac:dyDescent="0.3">
      <c r="B2849" s="220"/>
      <c r="C2849" s="221"/>
      <c r="D2849" s="244"/>
      <c r="E2849" s="213"/>
      <c r="F2849" s="215"/>
      <c r="G2849" s="219"/>
      <c r="H2849" s="62">
        <v>100</v>
      </c>
      <c r="I2849" s="63">
        <f>I2850*100/H2850</f>
        <v>99.1875954345537</v>
      </c>
      <c r="J2849" s="63">
        <f>J2850*100/H2850</f>
        <v>0</v>
      </c>
      <c r="K2849" s="64">
        <f>(D2850+E2850)*100/C2850</f>
        <v>99.1875954345537</v>
      </c>
      <c r="L2849" s="91">
        <f>G2850*100/C2850</f>
        <v>0.81240456544630513</v>
      </c>
      <c r="M2849" s="97">
        <f>M2850*100/H2850</f>
        <v>0.81240456544630513</v>
      </c>
    </row>
    <row r="2850" spans="2:13" ht="15.75" thickBot="1" x14ac:dyDescent="0.3">
      <c r="B2850" s="14" t="s">
        <v>22</v>
      </c>
      <c r="C2850" s="15">
        <f>SUM(C2834:C2849)</f>
        <v>973121.07</v>
      </c>
      <c r="D2850" s="15">
        <f>SUM(D2834:D2848)</f>
        <v>965215.39</v>
      </c>
      <c r="E2850" s="16">
        <f>SUM(E2834:E2849)</f>
        <v>0</v>
      </c>
      <c r="F2850" s="16">
        <f>SUM(F2834:F2849)</f>
        <v>965215.39</v>
      </c>
      <c r="G2850" s="46">
        <f>C2850-D2850-E2850</f>
        <v>7905.6799999999348</v>
      </c>
      <c r="H2850" s="80">
        <f>K2850+L2850</f>
        <v>973121.07</v>
      </c>
      <c r="I2850" s="81">
        <f>+D2850</f>
        <v>965215.39</v>
      </c>
      <c r="J2850" s="81">
        <f>+E2850</f>
        <v>0</v>
      </c>
      <c r="K2850" s="82">
        <f>D2850+E2850</f>
        <v>965215.39</v>
      </c>
      <c r="L2850" s="95">
        <f>+G2850</f>
        <v>7905.6799999999348</v>
      </c>
      <c r="M2850" s="97">
        <f>H2850-I2850</f>
        <v>7905.6799999999348</v>
      </c>
    </row>
    <row r="2851" spans="2:13" ht="15.75" thickBot="1" x14ac:dyDescent="0.3">
      <c r="B2851" s="17" t="s">
        <v>23</v>
      </c>
      <c r="C2851" s="18">
        <f>C2833+C2850</f>
        <v>1604354.48</v>
      </c>
      <c r="D2851" s="19">
        <f>D2850+D2833</f>
        <v>1595193.6800000002</v>
      </c>
      <c r="E2851" s="20">
        <f>E2833+E2850</f>
        <v>0</v>
      </c>
      <c r="F2851" s="20">
        <f>F2833+F2850</f>
        <v>1595193.6800000002</v>
      </c>
      <c r="G2851" s="28">
        <f>C2851-D2851-E2851</f>
        <v>9160.7999999998137</v>
      </c>
      <c r="H2851" s="92">
        <f>+C2851</f>
        <v>1604354.48</v>
      </c>
      <c r="I2851" s="93">
        <f>+D2851</f>
        <v>1595193.6800000002</v>
      </c>
      <c r="J2851" s="93">
        <f>+E2851</f>
        <v>0</v>
      </c>
      <c r="K2851" s="93">
        <f>I2851+J2851</f>
        <v>1595193.6800000002</v>
      </c>
      <c r="L2851" s="94">
        <f>H2851-K2851</f>
        <v>9160.7999999998137</v>
      </c>
      <c r="M2851" s="97">
        <f>H2851-I2851</f>
        <v>9160.7999999998137</v>
      </c>
    </row>
    <row r="2852" spans="2:13" ht="15.75" thickBot="1" x14ac:dyDescent="0.3">
      <c r="B2852" s="12"/>
      <c r="C2852" s="13"/>
      <c r="D2852" s="12"/>
      <c r="E2852" s="12"/>
      <c r="F2852" s="12"/>
      <c r="G2852" s="12"/>
      <c r="H2852" s="123">
        <v>100</v>
      </c>
      <c r="I2852" s="32">
        <f>I2851*100/H2851</f>
        <v>99.429003994179666</v>
      </c>
      <c r="J2852" s="32">
        <f>J2851*100/H2851</f>
        <v>0</v>
      </c>
      <c r="K2852" s="32">
        <f>K2851*100/H2851</f>
        <v>99.429003994179666</v>
      </c>
      <c r="L2852" s="124">
        <f>L2851*100/H2851</f>
        <v>0.57099600582034804</v>
      </c>
      <c r="M2852" s="125">
        <f>M2851*100/H2851</f>
        <v>0.57099600582034804</v>
      </c>
    </row>
    <row r="2853" spans="2:13" x14ac:dyDescent="0.25">
      <c r="B2853" s="12"/>
      <c r="C2853" s="13"/>
      <c r="D2853" s="12"/>
      <c r="E2853" s="12"/>
      <c r="F2853" s="12"/>
      <c r="G2853" s="12"/>
      <c r="H2853" s="198"/>
      <c r="I2853" s="199"/>
      <c r="J2853" s="199"/>
      <c r="K2853" s="199"/>
      <c r="L2853" s="199"/>
      <c r="M2853" s="199"/>
    </row>
    <row r="2854" spans="2:13" x14ac:dyDescent="0.25">
      <c r="B2854" s="12"/>
      <c r="C2854" s="13"/>
      <c r="D2854" s="12"/>
      <c r="E2854" s="12"/>
      <c r="F2854" s="12"/>
      <c r="G2854" s="12"/>
      <c r="H2854" s="198"/>
      <c r="I2854" s="199"/>
      <c r="J2854" s="199"/>
      <c r="K2854" s="199"/>
      <c r="L2854" s="199"/>
      <c r="M2854" s="199"/>
    </row>
    <row r="2855" spans="2:13" x14ac:dyDescent="0.25">
      <c r="B2855" s="12"/>
      <c r="C2855" s="13"/>
      <c r="D2855" s="12"/>
      <c r="E2855" s="12"/>
      <c r="F2855" s="12"/>
      <c r="G2855" s="12"/>
      <c r="H2855" s="198"/>
      <c r="I2855" s="199"/>
      <c r="J2855" s="199"/>
      <c r="K2855" s="199"/>
      <c r="L2855" s="199"/>
      <c r="M2855" s="199"/>
    </row>
    <row r="2856" spans="2:13" x14ac:dyDescent="0.25">
      <c r="B2856" s="12"/>
      <c r="C2856" s="13"/>
      <c r="D2856" s="12"/>
      <c r="E2856" s="12"/>
      <c r="F2856" s="12"/>
      <c r="G2856" s="12"/>
      <c r="H2856" s="198"/>
      <c r="I2856" s="199"/>
      <c r="J2856" s="199"/>
      <c r="K2856" s="199"/>
      <c r="L2856" s="199"/>
      <c r="M2856" s="199"/>
    </row>
    <row r="2857" spans="2:13" x14ac:dyDescent="0.25">
      <c r="B2857" s="12"/>
      <c r="C2857" s="13"/>
      <c r="D2857" s="12"/>
      <c r="E2857" s="12"/>
      <c r="F2857" s="12"/>
      <c r="G2857" s="12"/>
      <c r="H2857" s="198"/>
      <c r="I2857" s="199"/>
      <c r="J2857" s="199"/>
      <c r="K2857" s="199"/>
      <c r="L2857" s="199"/>
      <c r="M2857" s="199"/>
    </row>
    <row r="2858" spans="2:13" x14ac:dyDescent="0.25">
      <c r="B2858" s="12"/>
      <c r="C2858" s="13"/>
      <c r="D2858" s="12"/>
      <c r="E2858" s="12"/>
      <c r="F2858" s="12"/>
      <c r="G2858" s="12"/>
      <c r="H2858" s="198"/>
      <c r="I2858" s="199"/>
      <c r="J2858" s="199"/>
      <c r="K2858" s="199"/>
      <c r="L2858" s="199"/>
      <c r="M2858" s="199"/>
    </row>
    <row r="2859" spans="2:13" x14ac:dyDescent="0.25">
      <c r="B2859" s="12"/>
      <c r="C2859" s="13"/>
      <c r="D2859" s="12"/>
      <c r="E2859" s="12"/>
      <c r="F2859" s="12"/>
      <c r="G2859" s="12"/>
      <c r="H2859" s="198"/>
      <c r="I2859" s="199"/>
      <c r="J2859" s="199"/>
      <c r="K2859" s="199"/>
      <c r="L2859" s="199"/>
      <c r="M2859" s="199"/>
    </row>
    <row r="2860" spans="2:13" x14ac:dyDescent="0.25">
      <c r="B2860" s="12"/>
      <c r="C2860" s="13"/>
      <c r="D2860" s="12"/>
      <c r="E2860" s="12"/>
      <c r="F2860" s="12"/>
      <c r="G2860" s="12"/>
      <c r="H2860" s="198"/>
      <c r="I2860" s="199"/>
      <c r="J2860" s="199"/>
      <c r="K2860" s="199"/>
      <c r="L2860" s="199"/>
      <c r="M2860" s="199"/>
    </row>
    <row r="2861" spans="2:13" x14ac:dyDescent="0.25">
      <c r="B2861" s="12"/>
      <c r="C2861" s="13"/>
      <c r="D2861" s="12"/>
      <c r="E2861" s="12"/>
      <c r="F2861" s="12"/>
      <c r="G2861" s="12"/>
      <c r="H2861" s="198"/>
      <c r="I2861" s="199"/>
      <c r="J2861" s="199"/>
      <c r="K2861" s="199"/>
      <c r="L2861" s="199"/>
      <c r="M2861" s="199"/>
    </row>
    <row r="2862" spans="2:13" x14ac:dyDescent="0.25">
      <c r="B2862" s="12"/>
      <c r="C2862" s="13"/>
      <c r="D2862" s="12"/>
      <c r="E2862" s="12"/>
      <c r="F2862" s="12"/>
      <c r="G2862" s="12"/>
      <c r="H2862" s="198"/>
      <c r="I2862" s="199"/>
      <c r="J2862" s="199"/>
      <c r="K2862" s="199"/>
      <c r="L2862" s="199"/>
      <c r="M2862" s="199"/>
    </row>
    <row r="2863" spans="2:13" x14ac:dyDescent="0.25">
      <c r="B2863" s="12"/>
      <c r="C2863" s="13"/>
      <c r="D2863" s="12"/>
      <c r="E2863" s="12"/>
      <c r="F2863" s="12"/>
      <c r="G2863" s="12"/>
      <c r="H2863" s="198"/>
      <c r="I2863" s="199"/>
      <c r="J2863" s="199"/>
      <c r="K2863" s="199"/>
      <c r="L2863" s="199"/>
      <c r="M2863" s="199"/>
    </row>
    <row r="2864" spans="2:13" x14ac:dyDescent="0.25">
      <c r="B2864" s="12"/>
      <c r="C2864" s="13"/>
      <c r="D2864" s="12"/>
      <c r="E2864" s="12"/>
      <c r="F2864" s="12"/>
      <c r="G2864" s="12"/>
      <c r="H2864" s="198"/>
      <c r="I2864" s="199"/>
      <c r="J2864" s="199"/>
      <c r="K2864" s="199"/>
      <c r="L2864" s="199"/>
      <c r="M2864" s="199"/>
    </row>
    <row r="2865" spans="2:13" x14ac:dyDescent="0.25">
      <c r="B2865" s="12"/>
      <c r="C2865" s="13"/>
      <c r="D2865" s="12"/>
      <c r="E2865" s="12"/>
      <c r="F2865" s="12"/>
      <c r="G2865" s="12"/>
      <c r="H2865" s="198"/>
      <c r="I2865" s="199"/>
      <c r="J2865" s="199"/>
      <c r="K2865" s="199"/>
      <c r="L2865" s="199"/>
      <c r="M2865" s="199"/>
    </row>
    <row r="2866" spans="2:13" x14ac:dyDescent="0.25">
      <c r="B2866" s="12"/>
      <c r="C2866" s="13"/>
      <c r="D2866" s="12"/>
      <c r="E2866" s="12"/>
      <c r="F2866" s="12"/>
      <c r="G2866" s="12"/>
      <c r="H2866" s="198"/>
      <c r="I2866" s="199"/>
      <c r="J2866" s="199"/>
      <c r="K2866" s="199"/>
      <c r="L2866" s="199"/>
      <c r="M2866" s="199"/>
    </row>
    <row r="2867" spans="2:13" x14ac:dyDescent="0.25">
      <c r="B2867" s="12"/>
      <c r="C2867" s="13"/>
      <c r="D2867" s="12"/>
      <c r="E2867" s="12"/>
      <c r="F2867" s="12"/>
      <c r="G2867" s="12"/>
      <c r="H2867" s="198"/>
      <c r="I2867" s="199"/>
      <c r="J2867" s="199"/>
      <c r="K2867" s="199"/>
      <c r="L2867" s="199"/>
      <c r="M2867" s="199"/>
    </row>
    <row r="2868" spans="2:13" x14ac:dyDescent="0.25">
      <c r="B2868" s="12"/>
      <c r="C2868" s="13"/>
      <c r="D2868" s="12"/>
      <c r="E2868" s="12"/>
      <c r="F2868" s="12"/>
      <c r="G2868" s="12"/>
      <c r="H2868" s="198"/>
      <c r="I2868" s="199"/>
      <c r="J2868" s="199"/>
      <c r="K2868" s="199"/>
      <c r="L2868" s="199"/>
      <c r="M2868" s="199"/>
    </row>
    <row r="2869" spans="2:13" x14ac:dyDescent="0.25">
      <c r="B2869" s="12"/>
      <c r="C2869" s="13"/>
      <c r="D2869" s="12"/>
      <c r="E2869" s="12"/>
      <c r="F2869" s="12"/>
      <c r="G2869" s="12"/>
      <c r="H2869" s="198"/>
      <c r="I2869" s="199"/>
      <c r="J2869" s="199"/>
      <c r="K2869" s="199"/>
      <c r="L2869" s="199"/>
      <c r="M2869" s="199"/>
    </row>
    <row r="2870" spans="2:13" x14ac:dyDescent="0.25">
      <c r="B2870" s="225" t="s">
        <v>0</v>
      </c>
      <c r="C2870" s="225"/>
      <c r="D2870" s="225"/>
      <c r="E2870" s="225"/>
      <c r="F2870" s="225"/>
      <c r="G2870" s="225"/>
      <c r="H2870" s="198"/>
      <c r="I2870" s="199"/>
      <c r="J2870" s="199"/>
      <c r="K2870" s="199"/>
      <c r="L2870" s="199"/>
      <c r="M2870" s="199"/>
    </row>
    <row r="2871" spans="2:13" x14ac:dyDescent="0.25">
      <c r="B2871" s="225" t="s">
        <v>1</v>
      </c>
      <c r="C2871" s="225"/>
      <c r="D2871" s="225"/>
      <c r="E2871" s="225"/>
      <c r="F2871" s="225"/>
      <c r="G2871" s="225"/>
      <c r="H2871" s="198"/>
      <c r="I2871" s="199"/>
      <c r="J2871" s="199"/>
      <c r="K2871" s="199"/>
      <c r="L2871" s="199"/>
      <c r="M2871" s="199"/>
    </row>
    <row r="2872" spans="2:13" x14ac:dyDescent="0.25">
      <c r="B2872" s="225" t="s">
        <v>56</v>
      </c>
      <c r="C2872" s="225"/>
      <c r="D2872" s="225"/>
      <c r="E2872" s="225"/>
      <c r="F2872" s="225"/>
      <c r="G2872" s="225"/>
      <c r="H2872" s="198"/>
      <c r="I2872" s="199"/>
      <c r="J2872" s="199"/>
      <c r="K2872" s="199"/>
      <c r="L2872" s="199"/>
      <c r="M2872" s="199"/>
    </row>
    <row r="2873" spans="2:13" x14ac:dyDescent="0.25">
      <c r="B2873" s="225" t="s">
        <v>59</v>
      </c>
      <c r="C2873" s="225"/>
      <c r="D2873" s="225"/>
      <c r="E2873" s="225"/>
      <c r="F2873" s="225"/>
      <c r="G2873" s="225"/>
      <c r="H2873" s="198"/>
      <c r="I2873" s="199"/>
      <c r="J2873" s="199"/>
      <c r="K2873" s="199"/>
      <c r="L2873" s="199"/>
      <c r="M2873" s="199"/>
    </row>
    <row r="2874" spans="2:13" x14ac:dyDescent="0.25">
      <c r="B2874" s="225" t="s">
        <v>124</v>
      </c>
      <c r="C2874" s="225"/>
      <c r="D2874" s="225"/>
      <c r="E2874" s="225"/>
      <c r="F2874" s="225"/>
      <c r="G2874" s="225"/>
      <c r="H2874" s="198"/>
      <c r="I2874" s="199"/>
      <c r="J2874" s="199"/>
      <c r="K2874" s="199"/>
      <c r="L2874" s="199"/>
      <c r="M2874" s="199"/>
    </row>
    <row r="2875" spans="2:13" ht="15.75" thickBot="1" x14ac:dyDescent="0.3">
      <c r="B2875" s="12"/>
      <c r="C2875" s="13"/>
      <c r="D2875" s="12"/>
      <c r="E2875" s="12"/>
      <c r="F2875" s="12"/>
      <c r="G2875" s="12"/>
      <c r="H2875" s="198"/>
      <c r="I2875" s="199"/>
      <c r="J2875" s="199"/>
      <c r="K2875" s="199"/>
      <c r="L2875" s="199"/>
      <c r="M2875" s="199"/>
    </row>
    <row r="2876" spans="2:13" ht="36.75" thickBot="1" x14ac:dyDescent="0.3">
      <c r="B2876" s="185"/>
      <c r="C2876" s="184" t="s">
        <v>5</v>
      </c>
      <c r="D2876" s="161" t="s">
        <v>72</v>
      </c>
      <c r="E2876" s="172" t="s">
        <v>6</v>
      </c>
      <c r="F2876" s="161" t="s">
        <v>60</v>
      </c>
      <c r="G2876" s="172" t="s">
        <v>7</v>
      </c>
      <c r="H2876" s="180" t="s">
        <v>98</v>
      </c>
      <c r="I2876" s="172" t="s">
        <v>65</v>
      </c>
      <c r="J2876" s="180" t="s">
        <v>99</v>
      </c>
      <c r="K2876" s="177" t="s">
        <v>8</v>
      </c>
      <c r="L2876" s="181" t="s">
        <v>100</v>
      </c>
      <c r="M2876" s="199"/>
    </row>
    <row r="2877" spans="2:13" ht="15.75" thickBot="1" x14ac:dyDescent="0.3">
      <c r="B2877" s="194" t="s">
        <v>103</v>
      </c>
      <c r="C2877" s="182">
        <v>1604354.48</v>
      </c>
      <c r="D2877" s="174">
        <v>1</v>
      </c>
      <c r="E2877" s="170">
        <v>1595193.68</v>
      </c>
      <c r="F2877" s="175">
        <f>E2877/C2877</f>
        <v>0.99429003994179632</v>
      </c>
      <c r="G2877" s="170">
        <v>0</v>
      </c>
      <c r="H2877" s="175">
        <f>G2877/C2877</f>
        <v>0</v>
      </c>
      <c r="I2877" s="170">
        <f>E2877+G2877</f>
        <v>1595193.68</v>
      </c>
      <c r="J2877" s="175">
        <f>I2877/C2877</f>
        <v>0.99429003994179632</v>
      </c>
      <c r="K2877" s="189">
        <f>C2877-I2877</f>
        <v>9160.8000000000466</v>
      </c>
      <c r="L2877" s="190">
        <f>K2877/C2877</f>
        <v>5.7099600582036251E-3</v>
      </c>
      <c r="M2877" s="199"/>
    </row>
    <row r="2878" spans="2:13" x14ac:dyDescent="0.25">
      <c r="B2878" s="12"/>
      <c r="C2878" s="13"/>
      <c r="D2878" s="12"/>
      <c r="E2878" s="12"/>
      <c r="F2878" s="12"/>
      <c r="G2878" s="12"/>
      <c r="H2878" s="198"/>
      <c r="I2878" s="199"/>
      <c r="J2878" s="199"/>
      <c r="K2878" s="199"/>
      <c r="L2878" s="199"/>
      <c r="M2878" s="199"/>
    </row>
    <row r="2879" spans="2:13" x14ac:dyDescent="0.25">
      <c r="B2879" s="12"/>
      <c r="C2879" s="13"/>
      <c r="D2879" s="12"/>
      <c r="E2879" s="12"/>
      <c r="F2879" s="12"/>
      <c r="G2879" s="12"/>
      <c r="H2879" s="198"/>
      <c r="I2879" s="199"/>
      <c r="J2879" s="199"/>
      <c r="K2879" s="199"/>
      <c r="L2879" s="199"/>
      <c r="M2879" s="199"/>
    </row>
    <row r="2880" spans="2:13" x14ac:dyDescent="0.25">
      <c r="B2880" s="12"/>
      <c r="C2880" s="13"/>
      <c r="D2880" s="12"/>
      <c r="E2880" s="12"/>
      <c r="F2880" s="12"/>
      <c r="G2880" s="12"/>
      <c r="H2880" s="198"/>
      <c r="I2880" s="199"/>
      <c r="J2880" s="199"/>
      <c r="K2880" s="199"/>
      <c r="L2880" s="199"/>
      <c r="M2880" s="199"/>
    </row>
    <row r="2881" spans="2:13" x14ac:dyDescent="0.25">
      <c r="B2881" s="12"/>
      <c r="C2881" s="13"/>
      <c r="D2881" s="12"/>
      <c r="E2881" s="12"/>
      <c r="F2881" s="12"/>
      <c r="G2881" s="12"/>
      <c r="H2881" s="198"/>
      <c r="I2881" s="199"/>
      <c r="J2881" s="199"/>
      <c r="K2881" s="199"/>
      <c r="L2881" s="199"/>
      <c r="M2881" s="199"/>
    </row>
    <row r="2882" spans="2:13" x14ac:dyDescent="0.25">
      <c r="B2882" s="12"/>
      <c r="C2882" s="13"/>
      <c r="D2882" s="12"/>
      <c r="E2882" s="12"/>
      <c r="F2882" s="12"/>
      <c r="G2882" s="12"/>
      <c r="H2882" s="198"/>
      <c r="I2882" s="199"/>
      <c r="J2882" s="199"/>
      <c r="K2882" s="199"/>
      <c r="L2882" s="199"/>
      <c r="M2882" s="199"/>
    </row>
    <row r="2883" spans="2:13" x14ac:dyDescent="0.25">
      <c r="B2883" s="12"/>
      <c r="C2883" s="13"/>
      <c r="D2883" s="12"/>
      <c r="E2883" s="12"/>
      <c r="F2883" s="12"/>
      <c r="G2883" s="12"/>
      <c r="H2883" s="198"/>
      <c r="I2883" s="199"/>
      <c r="J2883" s="199"/>
      <c r="K2883" s="199"/>
      <c r="L2883" s="199"/>
      <c r="M2883" s="199"/>
    </row>
    <row r="2884" spans="2:13" x14ac:dyDescent="0.25">
      <c r="B2884" s="12"/>
      <c r="C2884" s="13"/>
      <c r="D2884" s="12"/>
      <c r="E2884" s="12"/>
      <c r="F2884" s="12"/>
      <c r="G2884" s="12"/>
      <c r="H2884" s="198"/>
      <c r="I2884" s="199"/>
      <c r="J2884" s="199"/>
      <c r="K2884" s="199"/>
      <c r="L2884" s="199"/>
      <c r="M2884" s="199"/>
    </row>
    <row r="2885" spans="2:13" x14ac:dyDescent="0.25">
      <c r="B2885" s="12"/>
      <c r="C2885" s="13"/>
      <c r="D2885" s="12"/>
      <c r="E2885" s="12"/>
      <c r="F2885" s="12"/>
      <c r="G2885" s="12"/>
      <c r="H2885" s="198"/>
      <c r="I2885" s="199"/>
      <c r="J2885" s="199"/>
      <c r="K2885" s="199"/>
      <c r="L2885" s="199"/>
      <c r="M2885" s="199"/>
    </row>
    <row r="2886" spans="2:13" x14ac:dyDescent="0.25">
      <c r="B2886" s="12"/>
      <c r="C2886" s="13"/>
      <c r="D2886" s="12"/>
      <c r="E2886" s="12"/>
      <c r="F2886" s="12"/>
      <c r="G2886" s="12"/>
      <c r="H2886" s="198"/>
      <c r="I2886" s="199"/>
      <c r="J2886" s="199"/>
      <c r="K2886" s="199"/>
      <c r="L2886" s="199"/>
      <c r="M2886" s="199"/>
    </row>
    <row r="2887" spans="2:13" x14ac:dyDescent="0.25">
      <c r="B2887" s="12"/>
      <c r="C2887" s="13"/>
      <c r="D2887" s="12"/>
      <c r="E2887" s="12"/>
      <c r="F2887" s="12"/>
      <c r="G2887" s="12"/>
      <c r="H2887" s="198"/>
      <c r="I2887" s="199"/>
      <c r="J2887" s="199"/>
      <c r="K2887" s="199"/>
      <c r="L2887" s="199"/>
      <c r="M2887" s="199"/>
    </row>
    <row r="2888" spans="2:13" x14ac:dyDescent="0.25">
      <c r="B2888" s="12"/>
      <c r="C2888" s="13"/>
      <c r="D2888" s="12"/>
      <c r="E2888" s="12"/>
      <c r="F2888" s="12"/>
      <c r="G2888" s="12"/>
      <c r="H2888" s="198"/>
      <c r="I2888" s="199"/>
      <c r="J2888" s="199"/>
      <c r="K2888" s="199"/>
      <c r="L2888" s="199"/>
      <c r="M2888" s="199"/>
    </row>
    <row r="2889" spans="2:13" x14ac:dyDescent="0.25">
      <c r="B2889" s="12"/>
      <c r="C2889" s="13"/>
      <c r="D2889" s="12"/>
      <c r="E2889" s="12"/>
      <c r="F2889" s="12"/>
      <c r="G2889" s="12"/>
      <c r="H2889" s="198"/>
      <c r="I2889" s="199"/>
      <c r="J2889" s="199"/>
      <c r="K2889" s="199"/>
      <c r="L2889" s="199"/>
      <c r="M2889" s="199"/>
    </row>
    <row r="2890" spans="2:13" x14ac:dyDescent="0.25">
      <c r="B2890" s="12"/>
      <c r="C2890" s="13"/>
      <c r="D2890" s="12"/>
      <c r="E2890" s="12"/>
      <c r="F2890" s="12"/>
      <c r="G2890" s="12"/>
      <c r="H2890" s="198"/>
      <c r="I2890" s="199"/>
      <c r="J2890" s="199"/>
      <c r="K2890" s="199"/>
      <c r="L2890" s="199"/>
      <c r="M2890" s="199"/>
    </row>
    <row r="2891" spans="2:13" x14ac:dyDescent="0.25">
      <c r="B2891" s="12"/>
      <c r="C2891" s="13"/>
      <c r="D2891" s="12"/>
      <c r="E2891" s="12"/>
      <c r="F2891" s="12"/>
      <c r="G2891" s="12"/>
      <c r="H2891" s="198"/>
      <c r="I2891" s="199"/>
      <c r="J2891" s="199"/>
      <c r="K2891" s="199"/>
      <c r="L2891" s="199"/>
      <c r="M2891" s="199"/>
    </row>
    <row r="2892" spans="2:13" x14ac:dyDescent="0.25">
      <c r="B2892" s="12"/>
      <c r="C2892" s="13"/>
      <c r="D2892" s="12"/>
      <c r="E2892" s="12"/>
      <c r="F2892" s="12"/>
      <c r="G2892" s="12"/>
      <c r="H2892" s="198"/>
      <c r="I2892" s="199"/>
      <c r="J2892" s="199"/>
      <c r="K2892" s="199"/>
      <c r="L2892" s="199"/>
      <c r="M2892" s="199"/>
    </row>
    <row r="2893" spans="2:13" x14ac:dyDescent="0.25">
      <c r="B2893" s="12"/>
      <c r="C2893" s="13"/>
      <c r="D2893" s="12"/>
      <c r="E2893" s="12"/>
      <c r="F2893" s="12"/>
      <c r="G2893" s="12"/>
      <c r="H2893" s="198"/>
      <c r="I2893" s="199"/>
      <c r="J2893" s="199"/>
      <c r="K2893" s="199"/>
      <c r="L2893" s="199"/>
      <c r="M2893" s="199"/>
    </row>
    <row r="2894" spans="2:13" x14ac:dyDescent="0.25">
      <c r="B2894" s="12"/>
      <c r="C2894" s="13"/>
      <c r="D2894" s="12"/>
      <c r="E2894" s="12"/>
      <c r="F2894" s="12"/>
      <c r="G2894" s="12"/>
      <c r="H2894" s="198"/>
      <c r="I2894" s="199"/>
      <c r="J2894" s="199"/>
      <c r="K2894" s="199"/>
      <c r="L2894" s="199"/>
      <c r="M2894" s="199"/>
    </row>
    <row r="2895" spans="2:13" x14ac:dyDescent="0.25">
      <c r="B2895" s="12"/>
      <c r="C2895" s="13"/>
      <c r="D2895" s="12"/>
      <c r="E2895" s="12"/>
      <c r="F2895" s="12"/>
      <c r="G2895" s="12"/>
      <c r="H2895" s="198"/>
      <c r="I2895" s="199"/>
      <c r="J2895" s="199"/>
      <c r="K2895" s="199"/>
      <c r="L2895" s="199"/>
      <c r="M2895" s="199"/>
    </row>
    <row r="2896" spans="2:13" x14ac:dyDescent="0.25">
      <c r="B2896" s="12"/>
      <c r="C2896" s="13"/>
      <c r="D2896" s="12"/>
      <c r="E2896" s="12"/>
      <c r="F2896" s="12"/>
      <c r="G2896" s="12"/>
      <c r="H2896" s="198"/>
      <c r="I2896" s="199"/>
      <c r="J2896" s="199"/>
      <c r="K2896" s="199"/>
      <c r="L2896" s="199"/>
      <c r="M2896" s="199"/>
    </row>
    <row r="2897" spans="2:13" x14ac:dyDescent="0.25">
      <c r="B2897" s="12"/>
      <c r="C2897" s="13"/>
      <c r="D2897" s="12"/>
      <c r="E2897" s="12"/>
      <c r="F2897" s="12"/>
      <c r="G2897" s="12"/>
      <c r="H2897" s="198"/>
      <c r="I2897" s="199"/>
      <c r="J2897" s="199"/>
      <c r="K2897" s="199"/>
      <c r="L2897" s="199"/>
      <c r="M2897" s="199"/>
    </row>
    <row r="2898" spans="2:13" x14ac:dyDescent="0.25">
      <c r="B2898" s="12"/>
      <c r="C2898" s="13"/>
      <c r="D2898" s="12"/>
      <c r="E2898" s="12"/>
      <c r="F2898" s="12"/>
      <c r="G2898" s="12"/>
      <c r="H2898" s="198"/>
      <c r="I2898" s="199"/>
      <c r="J2898" s="199"/>
      <c r="K2898" s="199"/>
      <c r="L2898" s="199"/>
      <c r="M2898" s="199"/>
    </row>
    <row r="2924" spans="2:13" x14ac:dyDescent="0.25">
      <c r="B2924" s="225" t="s">
        <v>0</v>
      </c>
      <c r="C2924" s="225"/>
      <c r="D2924" s="225"/>
      <c r="E2924" s="225"/>
      <c r="F2924" s="225"/>
      <c r="G2924" s="225"/>
      <c r="H2924" s="225"/>
      <c r="I2924" s="225"/>
      <c r="J2924" s="225"/>
      <c r="K2924" s="225"/>
      <c r="L2924" s="225"/>
      <c r="M2924" s="225"/>
    </row>
    <row r="2925" spans="2:13" x14ac:dyDescent="0.25">
      <c r="B2925" s="225" t="s">
        <v>1</v>
      </c>
      <c r="C2925" s="225"/>
      <c r="D2925" s="225"/>
      <c r="E2925" s="225"/>
      <c r="F2925" s="225"/>
      <c r="G2925" s="225"/>
      <c r="H2925" s="225"/>
      <c r="I2925" s="225"/>
      <c r="J2925" s="225"/>
      <c r="K2925" s="225"/>
      <c r="L2925" s="225"/>
      <c r="M2925" s="225"/>
    </row>
    <row r="2926" spans="2:13" x14ac:dyDescent="0.25">
      <c r="B2926" s="225" t="s">
        <v>126</v>
      </c>
      <c r="C2926" s="225"/>
      <c r="D2926" s="225"/>
      <c r="E2926" s="225"/>
      <c r="F2926" s="225"/>
      <c r="G2926" s="225"/>
      <c r="H2926" s="225"/>
      <c r="I2926" s="225"/>
      <c r="J2926" s="225"/>
      <c r="K2926" s="225"/>
      <c r="L2926" s="225"/>
      <c r="M2926" s="225"/>
    </row>
    <row r="2927" spans="2:13" x14ac:dyDescent="0.25">
      <c r="B2927" s="225"/>
      <c r="C2927" s="225"/>
      <c r="D2927" s="225"/>
      <c r="E2927" s="225"/>
      <c r="F2927" s="225"/>
      <c r="G2927" s="225"/>
    </row>
    <row r="2928" spans="2:13" x14ac:dyDescent="0.25">
      <c r="B2928" s="225" t="s">
        <v>125</v>
      </c>
      <c r="C2928" s="225"/>
      <c r="D2928" s="225"/>
      <c r="E2928" s="225"/>
      <c r="F2928" s="225"/>
      <c r="G2928" s="225"/>
      <c r="H2928" s="225"/>
      <c r="I2928" s="225"/>
      <c r="J2928" s="225"/>
      <c r="K2928" s="225"/>
      <c r="L2928" s="225"/>
      <c r="M2928" s="225"/>
    </row>
    <row r="2929" spans="2:13" ht="15.75" thickBot="1" x14ac:dyDescent="0.3">
      <c r="B2929" s="202"/>
      <c r="C2929" s="202"/>
      <c r="D2929" s="202"/>
      <c r="E2929" s="202"/>
      <c r="F2929" s="202"/>
      <c r="G2929" s="202"/>
    </row>
    <row r="2930" spans="2:13" ht="62.25" thickBot="1" x14ac:dyDescent="0.95">
      <c r="B2930" s="271" t="s">
        <v>96</v>
      </c>
      <c r="C2930" s="272"/>
      <c r="D2930" s="272"/>
      <c r="E2930" s="272"/>
      <c r="F2930" s="272"/>
      <c r="G2930" s="272"/>
      <c r="H2930" s="272"/>
      <c r="I2930" s="272"/>
      <c r="J2930" s="272"/>
      <c r="K2930" s="272"/>
      <c r="L2930" s="272"/>
      <c r="M2930" s="273"/>
    </row>
    <row r="2931" spans="2:13" ht="15.75" thickBot="1" x14ac:dyDescent="0.3"/>
    <row r="2932" spans="2:13" ht="45.75" thickBot="1" x14ac:dyDescent="0.3">
      <c r="B2932" s="68" t="s">
        <v>78</v>
      </c>
      <c r="C2932" s="167" t="s">
        <v>91</v>
      </c>
      <c r="D2932" s="69" t="s">
        <v>92</v>
      </c>
      <c r="E2932" s="69" t="s">
        <v>93</v>
      </c>
      <c r="F2932" s="167" t="s">
        <v>94</v>
      </c>
      <c r="G2932" s="69" t="s">
        <v>95</v>
      </c>
      <c r="H2932" s="164"/>
    </row>
    <row r="2933" spans="2:13" ht="15.75" thickBot="1" x14ac:dyDescent="0.3">
      <c r="B2933" s="205" t="s">
        <v>64</v>
      </c>
      <c r="C2933" s="206">
        <f>C2851+C2745+C2639+C2533+C2427+C2322+C2217+C2112+C2006+C1902+C1797+C1691+C1586+C1480+C1374+C1268+C1162+C1056+C949+C844+C738+C639</f>
        <v>71175643.689999998</v>
      </c>
      <c r="D2933" s="207">
        <f>D2851+D2745+D2639+D2533+D2427+D2322+D2217+D2112+D2006+D1902+D1797+D1691+D1586+D1480+D1374+D1268+D1162+D1056+D949+D844+D738+D639</f>
        <v>27230229.620000005</v>
      </c>
      <c r="E2933" s="207">
        <f>E2851+E2745+E2639+E2533+E2427+E2322+E2217+E2112+E2006+E1902+E1797+E1691+E1586+E1480+E1374+E1268+E1162+E1056+E949+E844+E738+E639</f>
        <v>26004397.609999999</v>
      </c>
      <c r="F2933" s="199">
        <f>D2933+E2933</f>
        <v>53234627.230000004</v>
      </c>
      <c r="G2933" s="207">
        <f>G2851+G2745+G2639+G2533+G2427+G2322+G2217+G2112+G2006+G1902+G1797+G1691+G1586+G1480+G1374+G1268+G1162+G1056+G949+G844+G738+G639</f>
        <v>17941016.459999997</v>
      </c>
      <c r="H2933" s="210">
        <f>G2933+E2933+D2933</f>
        <v>71175643.689999998</v>
      </c>
      <c r="J2933" s="1"/>
    </row>
    <row r="2934" spans="2:13" x14ac:dyDescent="0.25">
      <c r="B2934" s="36"/>
      <c r="C2934" s="208">
        <v>100</v>
      </c>
      <c r="D2934" s="37">
        <f>D2933*100/C2933</f>
        <v>38.257791862900689</v>
      </c>
      <c r="E2934" s="37">
        <f>E2933*100/C2933</f>
        <v>36.535528534536532</v>
      </c>
      <c r="F2934" s="37">
        <f>F2933*100/C2933</f>
        <v>74.793320397437213</v>
      </c>
      <c r="G2934" s="37">
        <f>G2933*100/C2933</f>
        <v>25.206679602562787</v>
      </c>
      <c r="H2934" s="211">
        <f>D2934+E2934+G2934</f>
        <v>100</v>
      </c>
      <c r="I2934" s="1"/>
    </row>
    <row r="2935" spans="2:13" ht="15.75" thickBot="1" x14ac:dyDescent="0.3">
      <c r="B2935" s="156"/>
      <c r="C2935" s="269"/>
      <c r="D2935" s="269"/>
      <c r="E2935" s="209"/>
      <c r="F2935" s="209"/>
      <c r="G2935" s="29"/>
      <c r="H2935" s="157"/>
    </row>
  </sheetData>
  <mergeCells count="1855">
    <mergeCell ref="B2766:G2766"/>
    <mergeCell ref="B2767:G2767"/>
    <mergeCell ref="B2768:G2768"/>
    <mergeCell ref="B2870:G2870"/>
    <mergeCell ref="B2871:G2871"/>
    <mergeCell ref="B2872:G2872"/>
    <mergeCell ref="B2873:G2873"/>
    <mergeCell ref="B2874:G2874"/>
    <mergeCell ref="B2927:G2927"/>
    <mergeCell ref="B2930:M2930"/>
    <mergeCell ref="B2924:M2924"/>
    <mergeCell ref="B2925:M2925"/>
    <mergeCell ref="B2926:M2926"/>
    <mergeCell ref="B2928:M2928"/>
    <mergeCell ref="B2446:G2446"/>
    <mergeCell ref="B2447:G2447"/>
    <mergeCell ref="B2448:G2448"/>
    <mergeCell ref="B2449:G2449"/>
    <mergeCell ref="B2450:G2450"/>
    <mergeCell ref="B2552:G2552"/>
    <mergeCell ref="B2553:G2553"/>
    <mergeCell ref="B2554:G2554"/>
    <mergeCell ref="B2555:G2555"/>
    <mergeCell ref="B2556:G2556"/>
    <mergeCell ref="B2658:G2658"/>
    <mergeCell ref="B2659:G2659"/>
    <mergeCell ref="B2660:G2660"/>
    <mergeCell ref="B2661:G2661"/>
    <mergeCell ref="B2662:G2662"/>
    <mergeCell ref="B2764:G2764"/>
    <mergeCell ref="B2765:G2765"/>
    <mergeCell ref="B2842:B2843"/>
    <mergeCell ref="B2029:G2029"/>
    <mergeCell ref="B2030:G2030"/>
    <mergeCell ref="B2131:G2131"/>
    <mergeCell ref="B2132:G2132"/>
    <mergeCell ref="B2133:G2133"/>
    <mergeCell ref="B2134:G2134"/>
    <mergeCell ref="B2135:G2135"/>
    <mergeCell ref="B2236:G2236"/>
    <mergeCell ref="B2237:G2237"/>
    <mergeCell ref="B2238:G2238"/>
    <mergeCell ref="B2239:G2239"/>
    <mergeCell ref="B2240:G2240"/>
    <mergeCell ref="B2341:G2341"/>
    <mergeCell ref="B2342:G2342"/>
    <mergeCell ref="B2343:G2343"/>
    <mergeCell ref="B2344:G2344"/>
    <mergeCell ref="B2345:G2345"/>
    <mergeCell ref="B2319:B2320"/>
    <mergeCell ref="C2319:C2320"/>
    <mergeCell ref="D2319:D2320"/>
    <mergeCell ref="E2319:E2320"/>
    <mergeCell ref="F2319:F2320"/>
    <mergeCell ref="G2319:G2320"/>
    <mergeCell ref="B2317:B2318"/>
    <mergeCell ref="C2317:C2318"/>
    <mergeCell ref="D2317:D2318"/>
    <mergeCell ref="E2317:E2318"/>
    <mergeCell ref="F2317:F2318"/>
    <mergeCell ref="G2317:G2318"/>
    <mergeCell ref="B2315:B2316"/>
    <mergeCell ref="C2315:C2316"/>
    <mergeCell ref="D2315:D2316"/>
    <mergeCell ref="B1710:G1710"/>
    <mergeCell ref="B1711:G1711"/>
    <mergeCell ref="B1712:G1712"/>
    <mergeCell ref="B1713:G1713"/>
    <mergeCell ref="B1815:G1815"/>
    <mergeCell ref="B1816:G1816"/>
    <mergeCell ref="B1817:G1817"/>
    <mergeCell ref="B1818:G1818"/>
    <mergeCell ref="B1819:G1819"/>
    <mergeCell ref="B1920:G1920"/>
    <mergeCell ref="B1921:G1921"/>
    <mergeCell ref="B1922:G1922"/>
    <mergeCell ref="B1923:G1923"/>
    <mergeCell ref="B1924:G1924"/>
    <mergeCell ref="B2026:G2026"/>
    <mergeCell ref="B2027:G2027"/>
    <mergeCell ref="B2028:G2028"/>
    <mergeCell ref="B2003:B2004"/>
    <mergeCell ref="C2003:C2004"/>
    <mergeCell ref="D2003:D2004"/>
    <mergeCell ref="E2003:E2004"/>
    <mergeCell ref="F2003:F2004"/>
    <mergeCell ref="G2003:G2004"/>
    <mergeCell ref="B2001:B2002"/>
    <mergeCell ref="C2001:C2002"/>
    <mergeCell ref="D2001:D2002"/>
    <mergeCell ref="E2001:E2002"/>
    <mergeCell ref="F2001:F2002"/>
    <mergeCell ref="G2001:G2002"/>
    <mergeCell ref="B1999:B2000"/>
    <mergeCell ref="C1999:C2000"/>
    <mergeCell ref="D1999:D2000"/>
    <mergeCell ref="B1290:G1290"/>
    <mergeCell ref="B1392:G1392"/>
    <mergeCell ref="B1393:G1393"/>
    <mergeCell ref="B1394:G1394"/>
    <mergeCell ref="B1395:G1395"/>
    <mergeCell ref="B1396:G1396"/>
    <mergeCell ref="B1498:G1498"/>
    <mergeCell ref="B1499:G1499"/>
    <mergeCell ref="B1500:G1500"/>
    <mergeCell ref="B1501:G1501"/>
    <mergeCell ref="B1502:G1502"/>
    <mergeCell ref="B1604:G1604"/>
    <mergeCell ref="B1605:G1605"/>
    <mergeCell ref="B1606:G1606"/>
    <mergeCell ref="B1607:G1607"/>
    <mergeCell ref="B1608:G1608"/>
    <mergeCell ref="B1709:G1709"/>
    <mergeCell ref="B1688:B1689"/>
    <mergeCell ref="C1688:C1689"/>
    <mergeCell ref="D1688:D1689"/>
    <mergeCell ref="E1688:E1689"/>
    <mergeCell ref="F1688:F1689"/>
    <mergeCell ref="G1688:G1689"/>
    <mergeCell ref="B1686:B1687"/>
    <mergeCell ref="C1686:C1687"/>
    <mergeCell ref="D1686:D1687"/>
    <mergeCell ref="E1686:E1687"/>
    <mergeCell ref="F1686:F1687"/>
    <mergeCell ref="G1686:G1687"/>
    <mergeCell ref="B1684:B1685"/>
    <mergeCell ref="C1684:C1685"/>
    <mergeCell ref="D1684:D1685"/>
    <mergeCell ref="B970:G970"/>
    <mergeCell ref="B971:G971"/>
    <mergeCell ref="B972:G972"/>
    <mergeCell ref="B1074:G1074"/>
    <mergeCell ref="B1075:G1075"/>
    <mergeCell ref="B1076:G1076"/>
    <mergeCell ref="B1077:G1077"/>
    <mergeCell ref="B1078:G1078"/>
    <mergeCell ref="B1180:G1180"/>
    <mergeCell ref="B1181:G1181"/>
    <mergeCell ref="B1182:G1182"/>
    <mergeCell ref="B1183:G1183"/>
    <mergeCell ref="B1184:G1184"/>
    <mergeCell ref="B1286:G1286"/>
    <mergeCell ref="B1287:G1287"/>
    <mergeCell ref="B1288:G1288"/>
    <mergeCell ref="B1289:G1289"/>
    <mergeCell ref="B1265:B1266"/>
    <mergeCell ref="C1265:C1266"/>
    <mergeCell ref="D1265:D1266"/>
    <mergeCell ref="E1265:E1266"/>
    <mergeCell ref="F1265:F1266"/>
    <mergeCell ref="G1265:G1266"/>
    <mergeCell ref="B1263:B1264"/>
    <mergeCell ref="C1263:C1264"/>
    <mergeCell ref="D1263:D1264"/>
    <mergeCell ref="E1263:E1264"/>
    <mergeCell ref="F1263:F1264"/>
    <mergeCell ref="G1263:G1264"/>
    <mergeCell ref="B1261:B1262"/>
    <mergeCell ref="C1261:C1262"/>
    <mergeCell ref="D1261:D1262"/>
    <mergeCell ref="B757:G757"/>
    <mergeCell ref="B758:G758"/>
    <mergeCell ref="B759:G759"/>
    <mergeCell ref="B760:G760"/>
    <mergeCell ref="B761:G761"/>
    <mergeCell ref="B863:G863"/>
    <mergeCell ref="B864:G864"/>
    <mergeCell ref="B865:G865"/>
    <mergeCell ref="B866:G866"/>
    <mergeCell ref="B867:G867"/>
    <mergeCell ref="B968:G968"/>
    <mergeCell ref="B969:G969"/>
    <mergeCell ref="B395:J395"/>
    <mergeCell ref="B396:J396"/>
    <mergeCell ref="B438:J438"/>
    <mergeCell ref="B439:J439"/>
    <mergeCell ref="B440:J440"/>
    <mergeCell ref="B482:J482"/>
    <mergeCell ref="B483:J483"/>
    <mergeCell ref="B484:J484"/>
    <mergeCell ref="B526:J526"/>
    <mergeCell ref="B527:J527"/>
    <mergeCell ref="B528:J528"/>
    <mergeCell ref="B570:J570"/>
    <mergeCell ref="B651:G651"/>
    <mergeCell ref="B652:G652"/>
    <mergeCell ref="B653:G653"/>
    <mergeCell ref="B654:G654"/>
    <mergeCell ref="B655:G655"/>
    <mergeCell ref="B946:B947"/>
    <mergeCell ref="C946:C947"/>
    <mergeCell ref="D946:D947"/>
    <mergeCell ref="B2:J2"/>
    <mergeCell ref="B3:J3"/>
    <mergeCell ref="B4:J4"/>
    <mergeCell ref="B604:J604"/>
    <mergeCell ref="B42:J42"/>
    <mergeCell ref="B43:J43"/>
    <mergeCell ref="B44:J44"/>
    <mergeCell ref="B86:J86"/>
    <mergeCell ref="B87:J87"/>
    <mergeCell ref="B88:J88"/>
    <mergeCell ref="B130:J130"/>
    <mergeCell ref="B131:J131"/>
    <mergeCell ref="B132:J132"/>
    <mergeCell ref="B174:J174"/>
    <mergeCell ref="B175:J175"/>
    <mergeCell ref="B176:J176"/>
    <mergeCell ref="B218:J218"/>
    <mergeCell ref="B219:J219"/>
    <mergeCell ref="B220:J220"/>
    <mergeCell ref="B262:J262"/>
    <mergeCell ref="B263:J263"/>
    <mergeCell ref="B264:J264"/>
    <mergeCell ref="B306:J306"/>
    <mergeCell ref="B307:J307"/>
    <mergeCell ref="B6:J6"/>
    <mergeCell ref="B571:J571"/>
    <mergeCell ref="B572:J572"/>
    <mergeCell ref="B308:J308"/>
    <mergeCell ref="B350:J350"/>
    <mergeCell ref="B351:J351"/>
    <mergeCell ref="B352:J352"/>
    <mergeCell ref="B394:J394"/>
    <mergeCell ref="C2935:D2935"/>
    <mergeCell ref="B2848:B2849"/>
    <mergeCell ref="C2848:C2849"/>
    <mergeCell ref="D2848:D2849"/>
    <mergeCell ref="E2848:E2849"/>
    <mergeCell ref="F2848:F2849"/>
    <mergeCell ref="G2848:G2849"/>
    <mergeCell ref="B2846:B2847"/>
    <mergeCell ref="C2846:C2847"/>
    <mergeCell ref="D2846:D2847"/>
    <mergeCell ref="E2846:E2847"/>
    <mergeCell ref="F2846:F2847"/>
    <mergeCell ref="G2846:G2847"/>
    <mergeCell ref="B2844:B2845"/>
    <mergeCell ref="C2844:C2845"/>
    <mergeCell ref="D2844:D2845"/>
    <mergeCell ref="E2844:E2845"/>
    <mergeCell ref="F2844:F2845"/>
    <mergeCell ref="G2844:G2845"/>
    <mergeCell ref="C2842:C2843"/>
    <mergeCell ref="D2842:D2843"/>
    <mergeCell ref="E2842:E2843"/>
    <mergeCell ref="F2842:F2843"/>
    <mergeCell ref="G2842:G2843"/>
    <mergeCell ref="B2840:B2841"/>
    <mergeCell ref="C2840:C2841"/>
    <mergeCell ref="D2840:D2841"/>
    <mergeCell ref="E2840:E2841"/>
    <mergeCell ref="F2840:F2841"/>
    <mergeCell ref="G2840:G2841"/>
    <mergeCell ref="B2838:B2839"/>
    <mergeCell ref="C2838:C2839"/>
    <mergeCell ref="D2838:D2839"/>
    <mergeCell ref="E2838:E2839"/>
    <mergeCell ref="F2838:F2839"/>
    <mergeCell ref="G2838:G2839"/>
    <mergeCell ref="B2836:B2837"/>
    <mergeCell ref="C2836:C2837"/>
    <mergeCell ref="D2836:D2837"/>
    <mergeCell ref="E2836:E2837"/>
    <mergeCell ref="F2836:F2837"/>
    <mergeCell ref="G2836:G2837"/>
    <mergeCell ref="B2834:B2835"/>
    <mergeCell ref="C2834:C2835"/>
    <mergeCell ref="D2834:D2835"/>
    <mergeCell ref="E2834:E2835"/>
    <mergeCell ref="F2834:F2835"/>
    <mergeCell ref="G2834:G2835"/>
    <mergeCell ref="B2831:B2832"/>
    <mergeCell ref="C2831:C2832"/>
    <mergeCell ref="D2831:D2832"/>
    <mergeCell ref="E2831:E2832"/>
    <mergeCell ref="F2831:F2832"/>
    <mergeCell ref="G2831:G2832"/>
    <mergeCell ref="B2829:B2830"/>
    <mergeCell ref="C2829:C2830"/>
    <mergeCell ref="D2829:D2830"/>
    <mergeCell ref="E2829:E2830"/>
    <mergeCell ref="F2829:F2830"/>
    <mergeCell ref="G2829:G2830"/>
    <mergeCell ref="G2825:G2826"/>
    <mergeCell ref="B2827:B2828"/>
    <mergeCell ref="C2827:C2828"/>
    <mergeCell ref="D2827:D2828"/>
    <mergeCell ref="E2827:E2828"/>
    <mergeCell ref="F2827:F2828"/>
    <mergeCell ref="G2827:G2828"/>
    <mergeCell ref="B2818:G2818"/>
    <mergeCell ref="B2819:G2819"/>
    <mergeCell ref="B2820:G2820"/>
    <mergeCell ref="B2821:G2821"/>
    <mergeCell ref="B2822:G2822"/>
    <mergeCell ref="B2825:B2826"/>
    <mergeCell ref="C2825:C2826"/>
    <mergeCell ref="D2825:D2826"/>
    <mergeCell ref="E2825:E2826"/>
    <mergeCell ref="F2825:F2826"/>
    <mergeCell ref="B2742:B2743"/>
    <mergeCell ref="C2742:C2743"/>
    <mergeCell ref="D2742:D2743"/>
    <mergeCell ref="E2742:E2743"/>
    <mergeCell ref="F2742:F2743"/>
    <mergeCell ref="G2742:G2743"/>
    <mergeCell ref="B2740:B2741"/>
    <mergeCell ref="C2740:C2741"/>
    <mergeCell ref="D2740:D2741"/>
    <mergeCell ref="E2740:E2741"/>
    <mergeCell ref="F2740:F2741"/>
    <mergeCell ref="G2740:G2741"/>
    <mergeCell ref="B2738:B2739"/>
    <mergeCell ref="C2738:C2739"/>
    <mergeCell ref="D2738:D2739"/>
    <mergeCell ref="E2738:E2739"/>
    <mergeCell ref="F2738:F2739"/>
    <mergeCell ref="G2738:G2739"/>
    <mergeCell ref="B2736:B2737"/>
    <mergeCell ref="C2736:C2737"/>
    <mergeCell ref="D2736:D2737"/>
    <mergeCell ref="E2736:E2737"/>
    <mergeCell ref="F2736:F2737"/>
    <mergeCell ref="G2736:G2737"/>
    <mergeCell ref="B2734:B2735"/>
    <mergeCell ref="C2734:C2735"/>
    <mergeCell ref="D2734:D2735"/>
    <mergeCell ref="E2734:E2735"/>
    <mergeCell ref="F2734:F2735"/>
    <mergeCell ref="G2734:G2735"/>
    <mergeCell ref="B2732:B2733"/>
    <mergeCell ref="C2732:C2733"/>
    <mergeCell ref="D2732:D2733"/>
    <mergeCell ref="E2732:E2733"/>
    <mergeCell ref="F2732:F2733"/>
    <mergeCell ref="G2732:G2733"/>
    <mergeCell ref="B2730:B2731"/>
    <mergeCell ref="C2730:C2731"/>
    <mergeCell ref="D2730:D2731"/>
    <mergeCell ref="E2730:E2731"/>
    <mergeCell ref="F2730:F2731"/>
    <mergeCell ref="G2730:G2731"/>
    <mergeCell ref="B2728:B2729"/>
    <mergeCell ref="C2728:C2729"/>
    <mergeCell ref="D2728:D2729"/>
    <mergeCell ref="E2728:E2729"/>
    <mergeCell ref="F2728:F2729"/>
    <mergeCell ref="G2728:G2729"/>
    <mergeCell ref="B2725:B2726"/>
    <mergeCell ref="C2725:C2726"/>
    <mergeCell ref="D2725:D2726"/>
    <mergeCell ref="E2725:E2726"/>
    <mergeCell ref="F2725:F2726"/>
    <mergeCell ref="G2725:G2726"/>
    <mergeCell ref="B2723:B2724"/>
    <mergeCell ref="C2723:C2724"/>
    <mergeCell ref="D2723:D2724"/>
    <mergeCell ref="E2723:E2724"/>
    <mergeCell ref="F2723:F2724"/>
    <mergeCell ref="G2723:G2724"/>
    <mergeCell ref="G2719:G2720"/>
    <mergeCell ref="B2721:B2722"/>
    <mergeCell ref="C2721:C2722"/>
    <mergeCell ref="D2721:D2722"/>
    <mergeCell ref="E2721:E2722"/>
    <mergeCell ref="F2721:F2722"/>
    <mergeCell ref="G2721:G2722"/>
    <mergeCell ref="B2712:G2712"/>
    <mergeCell ref="B2713:G2713"/>
    <mergeCell ref="B2714:G2714"/>
    <mergeCell ref="B2715:G2715"/>
    <mergeCell ref="B2716:G2716"/>
    <mergeCell ref="B2719:B2720"/>
    <mergeCell ref="C2719:C2720"/>
    <mergeCell ref="D2719:D2720"/>
    <mergeCell ref="E2719:E2720"/>
    <mergeCell ref="F2719:F2720"/>
    <mergeCell ref="B2636:B2637"/>
    <mergeCell ref="C2636:C2637"/>
    <mergeCell ref="D2636:D2637"/>
    <mergeCell ref="E2636:E2637"/>
    <mergeCell ref="F2636:F2637"/>
    <mergeCell ref="G2636:G2637"/>
    <mergeCell ref="B2634:B2635"/>
    <mergeCell ref="C2634:C2635"/>
    <mergeCell ref="D2634:D2635"/>
    <mergeCell ref="E2634:E2635"/>
    <mergeCell ref="F2634:F2635"/>
    <mergeCell ref="G2634:G2635"/>
    <mergeCell ref="B2632:B2633"/>
    <mergeCell ref="C2632:C2633"/>
    <mergeCell ref="D2632:D2633"/>
    <mergeCell ref="E2632:E2633"/>
    <mergeCell ref="F2632:F2633"/>
    <mergeCell ref="G2632:G2633"/>
    <mergeCell ref="B2630:B2631"/>
    <mergeCell ref="C2630:C2631"/>
    <mergeCell ref="D2630:D2631"/>
    <mergeCell ref="E2630:E2631"/>
    <mergeCell ref="F2630:F2631"/>
    <mergeCell ref="G2630:G2631"/>
    <mergeCell ref="B2628:B2629"/>
    <mergeCell ref="C2628:C2629"/>
    <mergeCell ref="D2628:D2629"/>
    <mergeCell ref="E2628:E2629"/>
    <mergeCell ref="F2628:F2629"/>
    <mergeCell ref="G2628:G2629"/>
    <mergeCell ref="B2626:B2627"/>
    <mergeCell ref="C2626:C2627"/>
    <mergeCell ref="D2626:D2627"/>
    <mergeCell ref="E2626:E2627"/>
    <mergeCell ref="F2626:F2627"/>
    <mergeCell ref="G2626:G2627"/>
    <mergeCell ref="B2624:B2625"/>
    <mergeCell ref="C2624:C2625"/>
    <mergeCell ref="D2624:D2625"/>
    <mergeCell ref="E2624:E2625"/>
    <mergeCell ref="F2624:F2625"/>
    <mergeCell ref="G2624:G2625"/>
    <mergeCell ref="B2622:B2623"/>
    <mergeCell ref="C2622:C2623"/>
    <mergeCell ref="D2622:D2623"/>
    <mergeCell ref="E2622:E2623"/>
    <mergeCell ref="F2622:F2623"/>
    <mergeCell ref="G2622:G2623"/>
    <mergeCell ref="B2619:B2620"/>
    <mergeCell ref="C2619:C2620"/>
    <mergeCell ref="D2619:D2620"/>
    <mergeCell ref="E2619:E2620"/>
    <mergeCell ref="F2619:F2620"/>
    <mergeCell ref="G2619:G2620"/>
    <mergeCell ref="B2617:B2618"/>
    <mergeCell ref="C2617:C2618"/>
    <mergeCell ref="D2617:D2618"/>
    <mergeCell ref="E2617:E2618"/>
    <mergeCell ref="F2617:F2618"/>
    <mergeCell ref="G2617:G2618"/>
    <mergeCell ref="G2613:G2614"/>
    <mergeCell ref="B2615:B2616"/>
    <mergeCell ref="C2615:C2616"/>
    <mergeCell ref="D2615:D2616"/>
    <mergeCell ref="E2615:E2616"/>
    <mergeCell ref="F2615:F2616"/>
    <mergeCell ref="G2615:G2616"/>
    <mergeCell ref="B2606:G2606"/>
    <mergeCell ref="B2607:G2607"/>
    <mergeCell ref="B2608:G2608"/>
    <mergeCell ref="B2609:G2609"/>
    <mergeCell ref="B2610:G2610"/>
    <mergeCell ref="B2613:B2614"/>
    <mergeCell ref="C2613:C2614"/>
    <mergeCell ref="D2613:D2614"/>
    <mergeCell ref="E2613:E2614"/>
    <mergeCell ref="F2613:F2614"/>
    <mergeCell ref="B2530:B2531"/>
    <mergeCell ref="C2530:C2531"/>
    <mergeCell ref="D2530:D2531"/>
    <mergeCell ref="E2530:E2531"/>
    <mergeCell ref="F2530:F2531"/>
    <mergeCell ref="G2530:G2531"/>
    <mergeCell ref="B2528:B2529"/>
    <mergeCell ref="C2528:C2529"/>
    <mergeCell ref="D2528:D2529"/>
    <mergeCell ref="E2528:E2529"/>
    <mergeCell ref="F2528:F2529"/>
    <mergeCell ref="G2528:G2529"/>
    <mergeCell ref="B2526:B2527"/>
    <mergeCell ref="C2526:C2527"/>
    <mergeCell ref="D2526:D2527"/>
    <mergeCell ref="E2526:E2527"/>
    <mergeCell ref="F2526:F2527"/>
    <mergeCell ref="G2526:G2527"/>
    <mergeCell ref="B2524:B2525"/>
    <mergeCell ref="C2524:C2525"/>
    <mergeCell ref="D2524:D2525"/>
    <mergeCell ref="E2524:E2525"/>
    <mergeCell ref="F2524:F2525"/>
    <mergeCell ref="G2524:G2525"/>
    <mergeCell ref="B2522:B2523"/>
    <mergeCell ref="C2522:C2523"/>
    <mergeCell ref="D2522:D2523"/>
    <mergeCell ref="E2522:E2523"/>
    <mergeCell ref="F2522:F2523"/>
    <mergeCell ref="G2522:G2523"/>
    <mergeCell ref="B2520:B2521"/>
    <mergeCell ref="C2520:C2521"/>
    <mergeCell ref="D2520:D2521"/>
    <mergeCell ref="E2520:E2521"/>
    <mergeCell ref="F2520:F2521"/>
    <mergeCell ref="G2520:G2521"/>
    <mergeCell ref="B2518:B2519"/>
    <mergeCell ref="C2518:C2519"/>
    <mergeCell ref="D2518:D2519"/>
    <mergeCell ref="E2518:E2519"/>
    <mergeCell ref="F2518:F2519"/>
    <mergeCell ref="G2518:G2519"/>
    <mergeCell ref="B2516:B2517"/>
    <mergeCell ref="C2516:C2517"/>
    <mergeCell ref="D2516:D2517"/>
    <mergeCell ref="E2516:E2517"/>
    <mergeCell ref="F2516:F2517"/>
    <mergeCell ref="G2516:G2517"/>
    <mergeCell ref="B2513:B2514"/>
    <mergeCell ref="C2513:C2514"/>
    <mergeCell ref="D2513:D2514"/>
    <mergeCell ref="E2513:E2514"/>
    <mergeCell ref="F2513:F2514"/>
    <mergeCell ref="G2513:G2514"/>
    <mergeCell ref="B2511:B2512"/>
    <mergeCell ref="C2511:C2512"/>
    <mergeCell ref="D2511:D2512"/>
    <mergeCell ref="E2511:E2512"/>
    <mergeCell ref="F2511:F2512"/>
    <mergeCell ref="G2511:G2512"/>
    <mergeCell ref="G2507:G2508"/>
    <mergeCell ref="B2509:B2510"/>
    <mergeCell ref="C2509:C2510"/>
    <mergeCell ref="D2509:D2510"/>
    <mergeCell ref="E2509:E2510"/>
    <mergeCell ref="F2509:F2510"/>
    <mergeCell ref="G2509:G2510"/>
    <mergeCell ref="B2500:G2500"/>
    <mergeCell ref="B2501:G2501"/>
    <mergeCell ref="B2502:G2502"/>
    <mergeCell ref="B2503:G2503"/>
    <mergeCell ref="B2504:G2504"/>
    <mergeCell ref="B2507:B2508"/>
    <mergeCell ref="C2507:C2508"/>
    <mergeCell ref="D2507:D2508"/>
    <mergeCell ref="E2507:E2508"/>
    <mergeCell ref="F2507:F2508"/>
    <mergeCell ref="B2424:B2425"/>
    <mergeCell ref="C2424:C2425"/>
    <mergeCell ref="D2424:D2425"/>
    <mergeCell ref="E2424:E2425"/>
    <mergeCell ref="F2424:F2425"/>
    <mergeCell ref="G2424:G2425"/>
    <mergeCell ref="B2422:B2423"/>
    <mergeCell ref="C2422:C2423"/>
    <mergeCell ref="D2422:D2423"/>
    <mergeCell ref="E2422:E2423"/>
    <mergeCell ref="F2422:F2423"/>
    <mergeCell ref="G2422:G2423"/>
    <mergeCell ref="B2420:B2421"/>
    <mergeCell ref="C2420:C2421"/>
    <mergeCell ref="D2420:D2421"/>
    <mergeCell ref="E2420:E2421"/>
    <mergeCell ref="F2420:F2421"/>
    <mergeCell ref="G2420:G2421"/>
    <mergeCell ref="B2418:B2419"/>
    <mergeCell ref="C2418:C2419"/>
    <mergeCell ref="D2418:D2419"/>
    <mergeCell ref="E2418:E2419"/>
    <mergeCell ref="F2418:F2419"/>
    <mergeCell ref="G2418:G2419"/>
    <mergeCell ref="B2416:B2417"/>
    <mergeCell ref="C2416:C2417"/>
    <mergeCell ref="D2416:D2417"/>
    <mergeCell ref="E2416:E2417"/>
    <mergeCell ref="F2416:F2417"/>
    <mergeCell ref="G2416:G2417"/>
    <mergeCell ref="B2414:B2415"/>
    <mergeCell ref="C2414:C2415"/>
    <mergeCell ref="D2414:D2415"/>
    <mergeCell ref="E2414:E2415"/>
    <mergeCell ref="F2414:F2415"/>
    <mergeCell ref="G2414:G2415"/>
    <mergeCell ref="B2412:B2413"/>
    <mergeCell ref="C2412:C2413"/>
    <mergeCell ref="D2412:D2413"/>
    <mergeCell ref="E2412:E2413"/>
    <mergeCell ref="F2412:F2413"/>
    <mergeCell ref="G2412:G2413"/>
    <mergeCell ref="B2410:B2411"/>
    <mergeCell ref="C2410:C2411"/>
    <mergeCell ref="D2410:D2411"/>
    <mergeCell ref="E2410:E2411"/>
    <mergeCell ref="F2410:F2411"/>
    <mergeCell ref="G2410:G2411"/>
    <mergeCell ref="B2407:B2408"/>
    <mergeCell ref="C2407:C2408"/>
    <mergeCell ref="D2407:D2408"/>
    <mergeCell ref="E2407:E2408"/>
    <mergeCell ref="F2407:F2408"/>
    <mergeCell ref="G2407:G2408"/>
    <mergeCell ref="B2405:B2406"/>
    <mergeCell ref="C2405:C2406"/>
    <mergeCell ref="D2405:D2406"/>
    <mergeCell ref="E2405:E2406"/>
    <mergeCell ref="F2405:F2406"/>
    <mergeCell ref="G2405:G2406"/>
    <mergeCell ref="G2401:G2402"/>
    <mergeCell ref="B2403:B2404"/>
    <mergeCell ref="C2403:C2404"/>
    <mergeCell ref="D2403:D2404"/>
    <mergeCell ref="E2403:E2404"/>
    <mergeCell ref="F2403:F2404"/>
    <mergeCell ref="G2403:G2404"/>
    <mergeCell ref="B2394:G2394"/>
    <mergeCell ref="B2395:G2395"/>
    <mergeCell ref="B2396:G2396"/>
    <mergeCell ref="B2397:G2397"/>
    <mergeCell ref="B2398:G2398"/>
    <mergeCell ref="B2401:B2402"/>
    <mergeCell ref="C2401:C2402"/>
    <mergeCell ref="D2401:D2402"/>
    <mergeCell ref="E2401:E2402"/>
    <mergeCell ref="F2401:F2402"/>
    <mergeCell ref="E2315:E2316"/>
    <mergeCell ref="F2315:F2316"/>
    <mergeCell ref="G2315:G2316"/>
    <mergeCell ref="B2313:B2314"/>
    <mergeCell ref="C2313:C2314"/>
    <mergeCell ref="D2313:D2314"/>
    <mergeCell ref="E2313:E2314"/>
    <mergeCell ref="F2313:F2314"/>
    <mergeCell ref="G2313:G2314"/>
    <mergeCell ref="B2311:B2312"/>
    <mergeCell ref="C2311:C2312"/>
    <mergeCell ref="D2311:D2312"/>
    <mergeCell ref="E2311:E2312"/>
    <mergeCell ref="F2311:F2312"/>
    <mergeCell ref="G2311:G2312"/>
    <mergeCell ref="B2309:B2310"/>
    <mergeCell ref="C2309:C2310"/>
    <mergeCell ref="D2309:D2310"/>
    <mergeCell ref="E2309:E2310"/>
    <mergeCell ref="F2309:F2310"/>
    <mergeCell ref="G2309:G2310"/>
    <mergeCell ref="B2307:B2308"/>
    <mergeCell ref="C2307:C2308"/>
    <mergeCell ref="D2307:D2308"/>
    <mergeCell ref="E2307:E2308"/>
    <mergeCell ref="F2307:F2308"/>
    <mergeCell ref="G2307:G2308"/>
    <mergeCell ref="B2305:B2306"/>
    <mergeCell ref="C2305:C2306"/>
    <mergeCell ref="D2305:D2306"/>
    <mergeCell ref="E2305:E2306"/>
    <mergeCell ref="F2305:F2306"/>
    <mergeCell ref="G2305:G2306"/>
    <mergeCell ref="B2302:B2303"/>
    <mergeCell ref="C2302:C2303"/>
    <mergeCell ref="D2302:D2303"/>
    <mergeCell ref="E2302:E2303"/>
    <mergeCell ref="F2302:F2303"/>
    <mergeCell ref="G2302:G2303"/>
    <mergeCell ref="B2300:B2301"/>
    <mergeCell ref="C2300:C2301"/>
    <mergeCell ref="D2300:D2301"/>
    <mergeCell ref="E2300:E2301"/>
    <mergeCell ref="F2300:F2301"/>
    <mergeCell ref="G2300:G2301"/>
    <mergeCell ref="G2296:G2297"/>
    <mergeCell ref="B2298:B2299"/>
    <mergeCell ref="C2298:C2299"/>
    <mergeCell ref="D2298:D2299"/>
    <mergeCell ref="E2298:E2299"/>
    <mergeCell ref="F2298:F2299"/>
    <mergeCell ref="G2298:G2299"/>
    <mergeCell ref="B2289:G2289"/>
    <mergeCell ref="B2290:G2290"/>
    <mergeCell ref="B2291:G2291"/>
    <mergeCell ref="B2292:G2292"/>
    <mergeCell ref="B2293:G2293"/>
    <mergeCell ref="B2296:B2297"/>
    <mergeCell ref="C2296:C2297"/>
    <mergeCell ref="D2296:D2297"/>
    <mergeCell ref="E2296:E2297"/>
    <mergeCell ref="F2296:F2297"/>
    <mergeCell ref="B2214:B2215"/>
    <mergeCell ref="C2214:C2215"/>
    <mergeCell ref="D2214:D2215"/>
    <mergeCell ref="E2214:E2215"/>
    <mergeCell ref="F2214:F2215"/>
    <mergeCell ref="G2214:G2215"/>
    <mergeCell ref="B2212:B2213"/>
    <mergeCell ref="C2212:C2213"/>
    <mergeCell ref="D2212:D2213"/>
    <mergeCell ref="E2212:E2213"/>
    <mergeCell ref="F2212:F2213"/>
    <mergeCell ref="G2212:G2213"/>
    <mergeCell ref="B2210:B2211"/>
    <mergeCell ref="C2210:C2211"/>
    <mergeCell ref="D2210:D2211"/>
    <mergeCell ref="E2210:E2211"/>
    <mergeCell ref="F2210:F2211"/>
    <mergeCell ref="G2210:G2211"/>
    <mergeCell ref="B2208:B2209"/>
    <mergeCell ref="C2208:C2209"/>
    <mergeCell ref="D2208:D2209"/>
    <mergeCell ref="E2208:E2209"/>
    <mergeCell ref="F2208:F2209"/>
    <mergeCell ref="G2208:G2209"/>
    <mergeCell ref="B2206:B2207"/>
    <mergeCell ref="C2206:C2207"/>
    <mergeCell ref="D2206:D2207"/>
    <mergeCell ref="E2206:E2207"/>
    <mergeCell ref="F2206:F2207"/>
    <mergeCell ref="G2206:G2207"/>
    <mergeCell ref="B2204:B2205"/>
    <mergeCell ref="C2204:C2205"/>
    <mergeCell ref="D2204:D2205"/>
    <mergeCell ref="E2204:E2205"/>
    <mergeCell ref="F2204:F2205"/>
    <mergeCell ref="G2204:G2205"/>
    <mergeCell ref="B2202:B2203"/>
    <mergeCell ref="C2202:C2203"/>
    <mergeCell ref="D2202:D2203"/>
    <mergeCell ref="E2202:E2203"/>
    <mergeCell ref="F2202:F2203"/>
    <mergeCell ref="G2202:G2203"/>
    <mergeCell ref="B2200:B2201"/>
    <mergeCell ref="C2200:C2201"/>
    <mergeCell ref="D2200:D2201"/>
    <mergeCell ref="E2200:E2201"/>
    <mergeCell ref="F2200:F2201"/>
    <mergeCell ref="G2200:G2201"/>
    <mergeCell ref="B2197:B2198"/>
    <mergeCell ref="C2197:C2198"/>
    <mergeCell ref="D2197:D2198"/>
    <mergeCell ref="E2197:E2198"/>
    <mergeCell ref="F2197:F2198"/>
    <mergeCell ref="G2197:G2198"/>
    <mergeCell ref="B2195:B2196"/>
    <mergeCell ref="C2195:C2196"/>
    <mergeCell ref="D2195:D2196"/>
    <mergeCell ref="E2195:E2196"/>
    <mergeCell ref="F2195:F2196"/>
    <mergeCell ref="G2195:G2196"/>
    <mergeCell ref="G2191:G2192"/>
    <mergeCell ref="B2193:B2194"/>
    <mergeCell ref="C2193:C2194"/>
    <mergeCell ref="D2193:D2194"/>
    <mergeCell ref="E2193:E2194"/>
    <mergeCell ref="F2193:F2194"/>
    <mergeCell ref="G2193:G2194"/>
    <mergeCell ref="B2184:G2184"/>
    <mergeCell ref="B2185:G2185"/>
    <mergeCell ref="B2186:G2186"/>
    <mergeCell ref="B2187:G2187"/>
    <mergeCell ref="B2188:G2188"/>
    <mergeCell ref="B2191:B2192"/>
    <mergeCell ref="C2191:C2192"/>
    <mergeCell ref="D2191:D2192"/>
    <mergeCell ref="E2191:E2192"/>
    <mergeCell ref="F2191:F2192"/>
    <mergeCell ref="B2109:B2110"/>
    <mergeCell ref="C2109:C2110"/>
    <mergeCell ref="D2109:D2110"/>
    <mergeCell ref="E2109:E2110"/>
    <mergeCell ref="F2109:F2110"/>
    <mergeCell ref="G2109:G2110"/>
    <mergeCell ref="B2107:B2108"/>
    <mergeCell ref="C2107:C2108"/>
    <mergeCell ref="D2107:D2108"/>
    <mergeCell ref="E2107:E2108"/>
    <mergeCell ref="F2107:F2108"/>
    <mergeCell ref="G2107:G2108"/>
    <mergeCell ref="B2105:B2106"/>
    <mergeCell ref="C2105:C2106"/>
    <mergeCell ref="D2105:D2106"/>
    <mergeCell ref="E2105:E2106"/>
    <mergeCell ref="F2105:F2106"/>
    <mergeCell ref="G2105:G2106"/>
    <mergeCell ref="B2103:B2104"/>
    <mergeCell ref="C2103:C2104"/>
    <mergeCell ref="D2103:D2104"/>
    <mergeCell ref="E2103:E2104"/>
    <mergeCell ref="F2103:F2104"/>
    <mergeCell ref="G2103:G2104"/>
    <mergeCell ref="B2101:B2102"/>
    <mergeCell ref="C2101:C2102"/>
    <mergeCell ref="D2101:D2102"/>
    <mergeCell ref="E2101:E2102"/>
    <mergeCell ref="F2101:F2102"/>
    <mergeCell ref="G2101:G2102"/>
    <mergeCell ref="B2099:B2100"/>
    <mergeCell ref="C2099:C2100"/>
    <mergeCell ref="D2099:D2100"/>
    <mergeCell ref="E2099:E2100"/>
    <mergeCell ref="F2099:F2100"/>
    <mergeCell ref="G2099:G2100"/>
    <mergeCell ref="B2097:B2098"/>
    <mergeCell ref="C2097:C2098"/>
    <mergeCell ref="D2097:D2098"/>
    <mergeCell ref="E2097:E2098"/>
    <mergeCell ref="F2097:F2098"/>
    <mergeCell ref="G2097:G2098"/>
    <mergeCell ref="B2095:B2096"/>
    <mergeCell ref="C2095:C2096"/>
    <mergeCell ref="D2095:D2096"/>
    <mergeCell ref="E2095:E2096"/>
    <mergeCell ref="F2095:F2096"/>
    <mergeCell ref="G2095:G2096"/>
    <mergeCell ref="B2092:B2093"/>
    <mergeCell ref="C2092:C2093"/>
    <mergeCell ref="D2092:D2093"/>
    <mergeCell ref="E2092:E2093"/>
    <mergeCell ref="F2092:F2093"/>
    <mergeCell ref="G2092:G2093"/>
    <mergeCell ref="B2090:B2091"/>
    <mergeCell ref="C2090:C2091"/>
    <mergeCell ref="D2090:D2091"/>
    <mergeCell ref="E2090:E2091"/>
    <mergeCell ref="F2090:F2091"/>
    <mergeCell ref="G2090:G2091"/>
    <mergeCell ref="G2086:G2087"/>
    <mergeCell ref="B2088:B2089"/>
    <mergeCell ref="C2088:C2089"/>
    <mergeCell ref="D2088:D2089"/>
    <mergeCell ref="E2088:E2089"/>
    <mergeCell ref="F2088:F2089"/>
    <mergeCell ref="G2088:G2089"/>
    <mergeCell ref="B2079:G2079"/>
    <mergeCell ref="B2080:G2080"/>
    <mergeCell ref="B2081:G2081"/>
    <mergeCell ref="B2082:G2082"/>
    <mergeCell ref="B2083:G2083"/>
    <mergeCell ref="B2086:B2087"/>
    <mergeCell ref="C2086:C2087"/>
    <mergeCell ref="D2086:D2087"/>
    <mergeCell ref="E2086:E2087"/>
    <mergeCell ref="F2086:F2087"/>
    <mergeCell ref="E1999:E2000"/>
    <mergeCell ref="F1999:F2000"/>
    <mergeCell ref="G1999:G2000"/>
    <mergeCell ref="B1997:B1998"/>
    <mergeCell ref="C1997:C1998"/>
    <mergeCell ref="D1997:D1998"/>
    <mergeCell ref="E1997:E1998"/>
    <mergeCell ref="F1997:F1998"/>
    <mergeCell ref="G1997:G1998"/>
    <mergeCell ref="B1995:B1996"/>
    <mergeCell ref="C1995:C1996"/>
    <mergeCell ref="D1995:D1996"/>
    <mergeCell ref="E1995:E1996"/>
    <mergeCell ref="F1995:F1996"/>
    <mergeCell ref="G1995:G1996"/>
    <mergeCell ref="B1993:B1994"/>
    <mergeCell ref="C1993:C1994"/>
    <mergeCell ref="D1993:D1994"/>
    <mergeCell ref="E1993:E1994"/>
    <mergeCell ref="F1993:F1994"/>
    <mergeCell ref="G1993:G1994"/>
    <mergeCell ref="B1991:B1992"/>
    <mergeCell ref="C1991:C1992"/>
    <mergeCell ref="D1991:D1992"/>
    <mergeCell ref="E1991:E1992"/>
    <mergeCell ref="F1991:F1992"/>
    <mergeCell ref="G1991:G1992"/>
    <mergeCell ref="B1989:B1990"/>
    <mergeCell ref="C1989:C1990"/>
    <mergeCell ref="D1989:D1990"/>
    <mergeCell ref="E1989:E1990"/>
    <mergeCell ref="F1989:F1990"/>
    <mergeCell ref="G1989:G1990"/>
    <mergeCell ref="B1986:B1987"/>
    <mergeCell ref="C1986:C1987"/>
    <mergeCell ref="D1986:D1987"/>
    <mergeCell ref="E1986:E1987"/>
    <mergeCell ref="F1986:F1987"/>
    <mergeCell ref="G1986:G1987"/>
    <mergeCell ref="B1984:B1985"/>
    <mergeCell ref="C1984:C1985"/>
    <mergeCell ref="D1984:D1985"/>
    <mergeCell ref="E1984:E1985"/>
    <mergeCell ref="F1984:F1985"/>
    <mergeCell ref="G1984:G1985"/>
    <mergeCell ref="G1980:G1981"/>
    <mergeCell ref="B1982:B1983"/>
    <mergeCell ref="C1982:C1983"/>
    <mergeCell ref="D1982:D1983"/>
    <mergeCell ref="E1982:E1983"/>
    <mergeCell ref="F1982:F1983"/>
    <mergeCell ref="G1982:G1983"/>
    <mergeCell ref="B1973:G1973"/>
    <mergeCell ref="B1974:G1974"/>
    <mergeCell ref="B1975:G1975"/>
    <mergeCell ref="B1976:G1976"/>
    <mergeCell ref="B1977:G1977"/>
    <mergeCell ref="B1980:B1981"/>
    <mergeCell ref="C1980:C1981"/>
    <mergeCell ref="D1980:D1981"/>
    <mergeCell ref="E1980:E1981"/>
    <mergeCell ref="F1980:F1981"/>
    <mergeCell ref="B1899:B1900"/>
    <mergeCell ref="C1899:C1900"/>
    <mergeCell ref="D1899:D1900"/>
    <mergeCell ref="E1899:E1900"/>
    <mergeCell ref="F1899:F1900"/>
    <mergeCell ref="G1899:G1900"/>
    <mergeCell ref="B1897:B1898"/>
    <mergeCell ref="C1897:C1898"/>
    <mergeCell ref="D1897:D1898"/>
    <mergeCell ref="E1897:E1898"/>
    <mergeCell ref="F1897:F1898"/>
    <mergeCell ref="G1897:G1898"/>
    <mergeCell ref="B1895:B1896"/>
    <mergeCell ref="C1895:C1896"/>
    <mergeCell ref="D1895:D1896"/>
    <mergeCell ref="E1895:E1896"/>
    <mergeCell ref="F1895:F1896"/>
    <mergeCell ref="G1895:G1896"/>
    <mergeCell ref="B1893:B1894"/>
    <mergeCell ref="C1893:C1894"/>
    <mergeCell ref="D1893:D1894"/>
    <mergeCell ref="E1893:E1894"/>
    <mergeCell ref="F1893:F1894"/>
    <mergeCell ref="G1893:G1894"/>
    <mergeCell ref="B1891:B1892"/>
    <mergeCell ref="C1891:C1892"/>
    <mergeCell ref="D1891:D1892"/>
    <mergeCell ref="E1891:E1892"/>
    <mergeCell ref="F1891:F1892"/>
    <mergeCell ref="G1891:G1892"/>
    <mergeCell ref="B1889:B1890"/>
    <mergeCell ref="C1889:C1890"/>
    <mergeCell ref="D1889:D1890"/>
    <mergeCell ref="E1889:E1890"/>
    <mergeCell ref="F1889:F1890"/>
    <mergeCell ref="G1889:G1890"/>
    <mergeCell ref="B1887:B1888"/>
    <mergeCell ref="C1887:C1888"/>
    <mergeCell ref="D1887:D1888"/>
    <mergeCell ref="E1887:E1888"/>
    <mergeCell ref="F1887:F1888"/>
    <mergeCell ref="G1887:G1888"/>
    <mergeCell ref="B1885:B1886"/>
    <mergeCell ref="C1885:C1886"/>
    <mergeCell ref="D1885:D1886"/>
    <mergeCell ref="E1885:E1886"/>
    <mergeCell ref="F1885:F1886"/>
    <mergeCell ref="G1885:G1886"/>
    <mergeCell ref="B1882:B1883"/>
    <mergeCell ref="C1882:C1883"/>
    <mergeCell ref="D1882:D1883"/>
    <mergeCell ref="E1882:E1883"/>
    <mergeCell ref="F1882:F1883"/>
    <mergeCell ref="G1882:G1883"/>
    <mergeCell ref="B1880:B1881"/>
    <mergeCell ref="C1880:C1881"/>
    <mergeCell ref="D1880:D1881"/>
    <mergeCell ref="E1880:E1881"/>
    <mergeCell ref="F1880:F1881"/>
    <mergeCell ref="G1880:G1881"/>
    <mergeCell ref="G1876:G1877"/>
    <mergeCell ref="B1878:B1879"/>
    <mergeCell ref="C1878:C1879"/>
    <mergeCell ref="D1878:D1879"/>
    <mergeCell ref="E1878:E1879"/>
    <mergeCell ref="F1878:F1879"/>
    <mergeCell ref="G1878:G1879"/>
    <mergeCell ref="B1868:G1868"/>
    <mergeCell ref="B1869:G1869"/>
    <mergeCell ref="B1870:G1870"/>
    <mergeCell ref="B1871:G1871"/>
    <mergeCell ref="B1872:G1872"/>
    <mergeCell ref="B1876:B1877"/>
    <mergeCell ref="C1876:C1877"/>
    <mergeCell ref="D1876:D1877"/>
    <mergeCell ref="E1876:E1877"/>
    <mergeCell ref="F1876:F1877"/>
    <mergeCell ref="B1794:B1795"/>
    <mergeCell ref="C1794:C1795"/>
    <mergeCell ref="D1794:D1795"/>
    <mergeCell ref="E1794:E1795"/>
    <mergeCell ref="F1794:F1795"/>
    <mergeCell ref="G1794:G1795"/>
    <mergeCell ref="B1792:B1793"/>
    <mergeCell ref="C1792:C1793"/>
    <mergeCell ref="D1792:D1793"/>
    <mergeCell ref="E1792:E1793"/>
    <mergeCell ref="F1792:F1793"/>
    <mergeCell ref="G1792:G1793"/>
    <mergeCell ref="B1790:B1791"/>
    <mergeCell ref="C1790:C1791"/>
    <mergeCell ref="D1790:D1791"/>
    <mergeCell ref="E1790:E1791"/>
    <mergeCell ref="F1790:F1791"/>
    <mergeCell ref="G1790:G1791"/>
    <mergeCell ref="B1788:B1789"/>
    <mergeCell ref="C1788:C1789"/>
    <mergeCell ref="D1788:D1789"/>
    <mergeCell ref="E1788:E1789"/>
    <mergeCell ref="F1788:F1789"/>
    <mergeCell ref="G1788:G1789"/>
    <mergeCell ref="B1786:B1787"/>
    <mergeCell ref="C1786:C1787"/>
    <mergeCell ref="D1786:D1787"/>
    <mergeCell ref="E1786:E1787"/>
    <mergeCell ref="F1786:F1787"/>
    <mergeCell ref="G1786:G1787"/>
    <mergeCell ref="B1784:B1785"/>
    <mergeCell ref="C1784:C1785"/>
    <mergeCell ref="D1784:D1785"/>
    <mergeCell ref="E1784:E1785"/>
    <mergeCell ref="F1784:F1785"/>
    <mergeCell ref="G1784:G1785"/>
    <mergeCell ref="B1782:B1783"/>
    <mergeCell ref="C1782:C1783"/>
    <mergeCell ref="D1782:D1783"/>
    <mergeCell ref="E1782:E1783"/>
    <mergeCell ref="F1782:F1783"/>
    <mergeCell ref="G1782:G1783"/>
    <mergeCell ref="B1780:B1781"/>
    <mergeCell ref="C1780:C1781"/>
    <mergeCell ref="D1780:D1781"/>
    <mergeCell ref="E1780:E1781"/>
    <mergeCell ref="F1780:F1781"/>
    <mergeCell ref="G1780:G1781"/>
    <mergeCell ref="B1777:B1778"/>
    <mergeCell ref="C1777:C1778"/>
    <mergeCell ref="D1777:D1778"/>
    <mergeCell ref="E1777:E1778"/>
    <mergeCell ref="F1777:F1778"/>
    <mergeCell ref="G1777:G1778"/>
    <mergeCell ref="B1775:B1776"/>
    <mergeCell ref="C1775:C1776"/>
    <mergeCell ref="D1775:D1776"/>
    <mergeCell ref="E1775:E1776"/>
    <mergeCell ref="F1775:F1776"/>
    <mergeCell ref="G1775:G1776"/>
    <mergeCell ref="G1771:G1772"/>
    <mergeCell ref="B1773:B1774"/>
    <mergeCell ref="C1773:C1774"/>
    <mergeCell ref="D1773:D1774"/>
    <mergeCell ref="E1773:E1774"/>
    <mergeCell ref="F1773:F1774"/>
    <mergeCell ref="G1773:G1774"/>
    <mergeCell ref="B1763:G1763"/>
    <mergeCell ref="B1764:G1764"/>
    <mergeCell ref="B1765:G1765"/>
    <mergeCell ref="B1766:G1766"/>
    <mergeCell ref="B1767:G1767"/>
    <mergeCell ref="B1771:B1772"/>
    <mergeCell ref="C1771:C1772"/>
    <mergeCell ref="D1771:D1772"/>
    <mergeCell ref="E1771:E1772"/>
    <mergeCell ref="F1771:F1772"/>
    <mergeCell ref="E1684:E1685"/>
    <mergeCell ref="F1684:F1685"/>
    <mergeCell ref="G1684:G1685"/>
    <mergeCell ref="B1682:B1683"/>
    <mergeCell ref="C1682:C1683"/>
    <mergeCell ref="D1682:D1683"/>
    <mergeCell ref="E1682:E1683"/>
    <mergeCell ref="F1682:F1683"/>
    <mergeCell ref="G1682:G1683"/>
    <mergeCell ref="B1680:B1681"/>
    <mergeCell ref="C1680:C1681"/>
    <mergeCell ref="D1680:D1681"/>
    <mergeCell ref="E1680:E1681"/>
    <mergeCell ref="F1680:F1681"/>
    <mergeCell ref="G1680:G1681"/>
    <mergeCell ref="B1678:B1679"/>
    <mergeCell ref="C1678:C1679"/>
    <mergeCell ref="D1678:D1679"/>
    <mergeCell ref="E1678:E1679"/>
    <mergeCell ref="F1678:F1679"/>
    <mergeCell ref="G1678:G1679"/>
    <mergeCell ref="B1676:B1677"/>
    <mergeCell ref="C1676:C1677"/>
    <mergeCell ref="D1676:D1677"/>
    <mergeCell ref="E1676:E1677"/>
    <mergeCell ref="F1676:F1677"/>
    <mergeCell ref="G1676:G1677"/>
    <mergeCell ref="B1674:B1675"/>
    <mergeCell ref="C1674:C1675"/>
    <mergeCell ref="D1674:D1675"/>
    <mergeCell ref="E1674:E1675"/>
    <mergeCell ref="F1674:F1675"/>
    <mergeCell ref="G1674:G1675"/>
    <mergeCell ref="B1671:B1672"/>
    <mergeCell ref="C1671:C1672"/>
    <mergeCell ref="D1671:D1672"/>
    <mergeCell ref="E1671:E1672"/>
    <mergeCell ref="F1671:F1672"/>
    <mergeCell ref="G1671:G1672"/>
    <mergeCell ref="B1669:B1670"/>
    <mergeCell ref="C1669:C1670"/>
    <mergeCell ref="D1669:D1670"/>
    <mergeCell ref="E1669:E1670"/>
    <mergeCell ref="F1669:F1670"/>
    <mergeCell ref="G1669:G1670"/>
    <mergeCell ref="G1665:G1666"/>
    <mergeCell ref="B1667:B1668"/>
    <mergeCell ref="C1667:C1668"/>
    <mergeCell ref="D1667:D1668"/>
    <mergeCell ref="E1667:E1668"/>
    <mergeCell ref="F1667:F1668"/>
    <mergeCell ref="G1667:G1668"/>
    <mergeCell ref="B1657:G1657"/>
    <mergeCell ref="B1658:G1658"/>
    <mergeCell ref="B1659:G1659"/>
    <mergeCell ref="B1660:G1660"/>
    <mergeCell ref="B1661:G1661"/>
    <mergeCell ref="B1665:B1666"/>
    <mergeCell ref="C1665:C1666"/>
    <mergeCell ref="D1665:D1666"/>
    <mergeCell ref="E1665:E1666"/>
    <mergeCell ref="F1665:F1666"/>
    <mergeCell ref="B1583:B1584"/>
    <mergeCell ref="C1583:C1584"/>
    <mergeCell ref="D1583:D1584"/>
    <mergeCell ref="E1583:E1584"/>
    <mergeCell ref="F1583:F1584"/>
    <mergeCell ref="G1583:G1584"/>
    <mergeCell ref="B1581:B1582"/>
    <mergeCell ref="C1581:C1582"/>
    <mergeCell ref="D1581:D1582"/>
    <mergeCell ref="E1581:E1582"/>
    <mergeCell ref="F1581:F1582"/>
    <mergeCell ref="G1581:G1582"/>
    <mergeCell ref="B1579:B1580"/>
    <mergeCell ref="C1579:C1580"/>
    <mergeCell ref="D1579:D1580"/>
    <mergeCell ref="E1579:E1580"/>
    <mergeCell ref="F1579:F1580"/>
    <mergeCell ref="G1579:G1580"/>
    <mergeCell ref="B1577:B1578"/>
    <mergeCell ref="C1577:C1578"/>
    <mergeCell ref="D1577:D1578"/>
    <mergeCell ref="E1577:E1578"/>
    <mergeCell ref="F1577:F1578"/>
    <mergeCell ref="G1577:G1578"/>
    <mergeCell ref="B1575:B1576"/>
    <mergeCell ref="C1575:C1576"/>
    <mergeCell ref="D1575:D1576"/>
    <mergeCell ref="E1575:E1576"/>
    <mergeCell ref="F1575:F1576"/>
    <mergeCell ref="G1575:G1576"/>
    <mergeCell ref="B1573:B1574"/>
    <mergeCell ref="C1573:C1574"/>
    <mergeCell ref="D1573:D1574"/>
    <mergeCell ref="E1573:E1574"/>
    <mergeCell ref="F1573:F1574"/>
    <mergeCell ref="G1573:G1574"/>
    <mergeCell ref="B1571:B1572"/>
    <mergeCell ref="C1571:C1572"/>
    <mergeCell ref="D1571:D1572"/>
    <mergeCell ref="E1571:E1572"/>
    <mergeCell ref="F1571:F1572"/>
    <mergeCell ref="G1571:G1572"/>
    <mergeCell ref="B1569:B1570"/>
    <mergeCell ref="C1569:C1570"/>
    <mergeCell ref="D1569:D1570"/>
    <mergeCell ref="E1569:E1570"/>
    <mergeCell ref="F1569:F1570"/>
    <mergeCell ref="G1569:G1570"/>
    <mergeCell ref="B1566:B1567"/>
    <mergeCell ref="C1566:C1567"/>
    <mergeCell ref="D1566:D1567"/>
    <mergeCell ref="E1566:E1567"/>
    <mergeCell ref="F1566:F1567"/>
    <mergeCell ref="G1566:G1567"/>
    <mergeCell ref="B1564:B1565"/>
    <mergeCell ref="C1564:C1565"/>
    <mergeCell ref="D1564:D1565"/>
    <mergeCell ref="E1564:E1565"/>
    <mergeCell ref="F1564:F1565"/>
    <mergeCell ref="G1564:G1565"/>
    <mergeCell ref="G1560:G1561"/>
    <mergeCell ref="B1562:B1563"/>
    <mergeCell ref="C1562:C1563"/>
    <mergeCell ref="D1562:D1563"/>
    <mergeCell ref="E1562:E1563"/>
    <mergeCell ref="F1562:F1563"/>
    <mergeCell ref="G1562:G1563"/>
    <mergeCell ref="B1552:G1552"/>
    <mergeCell ref="B1553:G1553"/>
    <mergeCell ref="B1554:G1554"/>
    <mergeCell ref="B1555:G1555"/>
    <mergeCell ref="B1556:G1556"/>
    <mergeCell ref="B1560:B1561"/>
    <mergeCell ref="C1560:C1561"/>
    <mergeCell ref="D1560:D1561"/>
    <mergeCell ref="E1560:E1561"/>
    <mergeCell ref="F1560:F1561"/>
    <mergeCell ref="B1477:B1478"/>
    <mergeCell ref="C1477:C1478"/>
    <mergeCell ref="D1477:D1478"/>
    <mergeCell ref="E1477:E1478"/>
    <mergeCell ref="F1477:F1478"/>
    <mergeCell ref="G1477:G1478"/>
    <mergeCell ref="B1475:B1476"/>
    <mergeCell ref="C1475:C1476"/>
    <mergeCell ref="D1475:D1476"/>
    <mergeCell ref="E1475:E1476"/>
    <mergeCell ref="F1475:F1476"/>
    <mergeCell ref="G1475:G1476"/>
    <mergeCell ref="B1473:B1474"/>
    <mergeCell ref="C1473:C1474"/>
    <mergeCell ref="D1473:D1474"/>
    <mergeCell ref="E1473:E1474"/>
    <mergeCell ref="F1473:F1474"/>
    <mergeCell ref="G1473:G1474"/>
    <mergeCell ref="B1471:B1472"/>
    <mergeCell ref="C1471:C1472"/>
    <mergeCell ref="D1471:D1472"/>
    <mergeCell ref="E1471:E1472"/>
    <mergeCell ref="F1471:F1472"/>
    <mergeCell ref="G1471:G1472"/>
    <mergeCell ref="B1469:B1470"/>
    <mergeCell ref="C1469:C1470"/>
    <mergeCell ref="D1469:D1470"/>
    <mergeCell ref="E1469:E1470"/>
    <mergeCell ref="F1469:F1470"/>
    <mergeCell ref="G1469:G1470"/>
    <mergeCell ref="B1467:B1468"/>
    <mergeCell ref="C1467:C1468"/>
    <mergeCell ref="D1467:D1468"/>
    <mergeCell ref="E1467:E1468"/>
    <mergeCell ref="F1467:F1468"/>
    <mergeCell ref="G1467:G1468"/>
    <mergeCell ref="B1465:B1466"/>
    <mergeCell ref="C1465:C1466"/>
    <mergeCell ref="D1465:D1466"/>
    <mergeCell ref="E1465:E1466"/>
    <mergeCell ref="F1465:F1466"/>
    <mergeCell ref="G1465:G1466"/>
    <mergeCell ref="B1463:B1464"/>
    <mergeCell ref="C1463:C1464"/>
    <mergeCell ref="D1463:D1464"/>
    <mergeCell ref="E1463:E1464"/>
    <mergeCell ref="F1463:F1464"/>
    <mergeCell ref="G1463:G1464"/>
    <mergeCell ref="B1460:B1461"/>
    <mergeCell ref="C1460:C1461"/>
    <mergeCell ref="D1460:D1461"/>
    <mergeCell ref="E1460:E1461"/>
    <mergeCell ref="F1460:F1461"/>
    <mergeCell ref="G1460:G1461"/>
    <mergeCell ref="B1458:B1459"/>
    <mergeCell ref="C1458:C1459"/>
    <mergeCell ref="D1458:D1459"/>
    <mergeCell ref="E1458:E1459"/>
    <mergeCell ref="F1458:F1459"/>
    <mergeCell ref="G1458:G1459"/>
    <mergeCell ref="G1454:G1455"/>
    <mergeCell ref="B1456:B1457"/>
    <mergeCell ref="C1456:C1457"/>
    <mergeCell ref="D1456:D1457"/>
    <mergeCell ref="E1456:E1457"/>
    <mergeCell ref="F1456:F1457"/>
    <mergeCell ref="G1456:G1457"/>
    <mergeCell ref="B1446:G1446"/>
    <mergeCell ref="B1447:G1447"/>
    <mergeCell ref="B1448:G1448"/>
    <mergeCell ref="B1449:G1449"/>
    <mergeCell ref="B1450:G1450"/>
    <mergeCell ref="B1454:B1455"/>
    <mergeCell ref="C1454:C1455"/>
    <mergeCell ref="D1454:D1455"/>
    <mergeCell ref="E1454:E1455"/>
    <mergeCell ref="F1454:F1455"/>
    <mergeCell ref="B1371:B1372"/>
    <mergeCell ref="C1371:C1372"/>
    <mergeCell ref="D1371:D1372"/>
    <mergeCell ref="E1371:E1372"/>
    <mergeCell ref="F1371:F1372"/>
    <mergeCell ref="G1371:G1372"/>
    <mergeCell ref="B1369:B1370"/>
    <mergeCell ref="C1369:C1370"/>
    <mergeCell ref="D1369:D1370"/>
    <mergeCell ref="E1369:E1370"/>
    <mergeCell ref="F1369:F1370"/>
    <mergeCell ref="G1369:G1370"/>
    <mergeCell ref="B1367:B1368"/>
    <mergeCell ref="C1367:C1368"/>
    <mergeCell ref="D1367:D1368"/>
    <mergeCell ref="E1367:E1368"/>
    <mergeCell ref="F1367:F1368"/>
    <mergeCell ref="G1367:G1368"/>
    <mergeCell ref="B1365:B1366"/>
    <mergeCell ref="C1365:C1366"/>
    <mergeCell ref="D1365:D1366"/>
    <mergeCell ref="E1365:E1366"/>
    <mergeCell ref="F1365:F1366"/>
    <mergeCell ref="G1365:G1366"/>
    <mergeCell ref="B1363:B1364"/>
    <mergeCell ref="C1363:C1364"/>
    <mergeCell ref="D1363:D1364"/>
    <mergeCell ref="E1363:E1364"/>
    <mergeCell ref="F1363:F1364"/>
    <mergeCell ref="G1363:G1364"/>
    <mergeCell ref="B1361:B1362"/>
    <mergeCell ref="C1361:C1362"/>
    <mergeCell ref="D1361:D1362"/>
    <mergeCell ref="E1361:E1362"/>
    <mergeCell ref="F1361:F1362"/>
    <mergeCell ref="G1361:G1362"/>
    <mergeCell ref="B1359:B1360"/>
    <mergeCell ref="C1359:C1360"/>
    <mergeCell ref="D1359:D1360"/>
    <mergeCell ref="E1359:E1360"/>
    <mergeCell ref="F1359:F1360"/>
    <mergeCell ref="G1359:G1360"/>
    <mergeCell ref="B1357:B1358"/>
    <mergeCell ref="C1357:C1358"/>
    <mergeCell ref="D1357:D1358"/>
    <mergeCell ref="E1357:E1358"/>
    <mergeCell ref="F1357:F1358"/>
    <mergeCell ref="G1357:G1358"/>
    <mergeCell ref="B1354:B1355"/>
    <mergeCell ref="C1354:C1355"/>
    <mergeCell ref="D1354:D1355"/>
    <mergeCell ref="E1354:E1355"/>
    <mergeCell ref="F1354:F1355"/>
    <mergeCell ref="G1354:G1355"/>
    <mergeCell ref="B1352:B1353"/>
    <mergeCell ref="C1352:C1353"/>
    <mergeCell ref="D1352:D1353"/>
    <mergeCell ref="E1352:E1353"/>
    <mergeCell ref="F1352:F1353"/>
    <mergeCell ref="G1352:G1353"/>
    <mergeCell ref="G1348:G1349"/>
    <mergeCell ref="B1350:B1351"/>
    <mergeCell ref="C1350:C1351"/>
    <mergeCell ref="D1350:D1351"/>
    <mergeCell ref="E1350:E1351"/>
    <mergeCell ref="F1350:F1351"/>
    <mergeCell ref="G1350:G1351"/>
    <mergeCell ref="B1340:G1340"/>
    <mergeCell ref="B1341:G1341"/>
    <mergeCell ref="B1342:G1342"/>
    <mergeCell ref="B1343:G1343"/>
    <mergeCell ref="B1344:G1344"/>
    <mergeCell ref="B1348:B1349"/>
    <mergeCell ref="C1348:C1349"/>
    <mergeCell ref="D1348:D1349"/>
    <mergeCell ref="E1348:E1349"/>
    <mergeCell ref="F1348:F1349"/>
    <mergeCell ref="E1261:E1262"/>
    <mergeCell ref="F1261:F1262"/>
    <mergeCell ref="G1261:G1262"/>
    <mergeCell ref="B1259:B1260"/>
    <mergeCell ref="C1259:C1260"/>
    <mergeCell ref="D1259:D1260"/>
    <mergeCell ref="E1259:E1260"/>
    <mergeCell ref="F1259:F1260"/>
    <mergeCell ref="G1259:G1260"/>
    <mergeCell ref="B1257:B1258"/>
    <mergeCell ref="C1257:C1258"/>
    <mergeCell ref="D1257:D1258"/>
    <mergeCell ref="E1257:E1258"/>
    <mergeCell ref="F1257:F1258"/>
    <mergeCell ref="G1257:G1258"/>
    <mergeCell ref="B1255:B1256"/>
    <mergeCell ref="C1255:C1256"/>
    <mergeCell ref="D1255:D1256"/>
    <mergeCell ref="E1255:E1256"/>
    <mergeCell ref="F1255:F1256"/>
    <mergeCell ref="G1255:G1256"/>
    <mergeCell ref="B1253:B1254"/>
    <mergeCell ref="C1253:C1254"/>
    <mergeCell ref="D1253:D1254"/>
    <mergeCell ref="E1253:E1254"/>
    <mergeCell ref="F1253:F1254"/>
    <mergeCell ref="G1253:G1254"/>
    <mergeCell ref="B1251:B1252"/>
    <mergeCell ref="C1251:C1252"/>
    <mergeCell ref="D1251:D1252"/>
    <mergeCell ref="E1251:E1252"/>
    <mergeCell ref="F1251:F1252"/>
    <mergeCell ref="G1251:G1252"/>
    <mergeCell ref="B1248:B1249"/>
    <mergeCell ref="C1248:C1249"/>
    <mergeCell ref="D1248:D1249"/>
    <mergeCell ref="E1248:E1249"/>
    <mergeCell ref="F1248:F1249"/>
    <mergeCell ref="G1248:G1249"/>
    <mergeCell ref="B1246:B1247"/>
    <mergeCell ref="C1246:C1247"/>
    <mergeCell ref="D1246:D1247"/>
    <mergeCell ref="E1246:E1247"/>
    <mergeCell ref="F1246:F1247"/>
    <mergeCell ref="G1246:G1247"/>
    <mergeCell ref="G1242:G1243"/>
    <mergeCell ref="B1244:B1245"/>
    <mergeCell ref="C1244:C1245"/>
    <mergeCell ref="D1244:D1245"/>
    <mergeCell ref="E1244:E1245"/>
    <mergeCell ref="F1244:F1245"/>
    <mergeCell ref="G1244:G1245"/>
    <mergeCell ref="B1234:G1234"/>
    <mergeCell ref="B1235:G1235"/>
    <mergeCell ref="B1236:G1236"/>
    <mergeCell ref="B1237:G1237"/>
    <mergeCell ref="B1238:G1238"/>
    <mergeCell ref="B1242:B1243"/>
    <mergeCell ref="C1242:C1243"/>
    <mergeCell ref="D1242:D1243"/>
    <mergeCell ref="E1242:E1243"/>
    <mergeCell ref="F1242:F1243"/>
    <mergeCell ref="B1159:B1160"/>
    <mergeCell ref="C1159:C1160"/>
    <mergeCell ref="D1159:D1160"/>
    <mergeCell ref="E1159:E1160"/>
    <mergeCell ref="F1159:F1160"/>
    <mergeCell ref="G1159:G1160"/>
    <mergeCell ref="B1157:B1158"/>
    <mergeCell ref="C1157:C1158"/>
    <mergeCell ref="D1157:D1158"/>
    <mergeCell ref="E1157:E1158"/>
    <mergeCell ref="F1157:F1158"/>
    <mergeCell ref="G1157:G1158"/>
    <mergeCell ref="B1155:B1156"/>
    <mergeCell ref="C1155:C1156"/>
    <mergeCell ref="D1155:D1156"/>
    <mergeCell ref="E1155:E1156"/>
    <mergeCell ref="F1155:F1156"/>
    <mergeCell ref="G1155:G1156"/>
    <mergeCell ref="B1153:B1154"/>
    <mergeCell ref="C1153:C1154"/>
    <mergeCell ref="D1153:D1154"/>
    <mergeCell ref="E1153:E1154"/>
    <mergeCell ref="F1153:F1154"/>
    <mergeCell ref="G1153:G1154"/>
    <mergeCell ref="B1151:B1152"/>
    <mergeCell ref="C1151:C1152"/>
    <mergeCell ref="D1151:D1152"/>
    <mergeCell ref="E1151:E1152"/>
    <mergeCell ref="F1151:F1152"/>
    <mergeCell ref="G1151:G1152"/>
    <mergeCell ref="B1149:B1150"/>
    <mergeCell ref="C1149:C1150"/>
    <mergeCell ref="D1149:D1150"/>
    <mergeCell ref="E1149:E1150"/>
    <mergeCell ref="F1149:F1150"/>
    <mergeCell ref="G1149:G1150"/>
    <mergeCell ref="B1147:B1148"/>
    <mergeCell ref="C1147:C1148"/>
    <mergeCell ref="D1147:D1148"/>
    <mergeCell ref="E1147:E1148"/>
    <mergeCell ref="F1147:F1148"/>
    <mergeCell ref="G1147:G1148"/>
    <mergeCell ref="B1145:B1146"/>
    <mergeCell ref="C1145:C1146"/>
    <mergeCell ref="D1145:D1146"/>
    <mergeCell ref="E1145:E1146"/>
    <mergeCell ref="F1145:F1146"/>
    <mergeCell ref="G1145:G1146"/>
    <mergeCell ref="B1142:B1143"/>
    <mergeCell ref="C1142:C1143"/>
    <mergeCell ref="D1142:D1143"/>
    <mergeCell ref="E1142:E1143"/>
    <mergeCell ref="F1142:F1143"/>
    <mergeCell ref="G1142:G1143"/>
    <mergeCell ref="B1140:B1141"/>
    <mergeCell ref="C1140:C1141"/>
    <mergeCell ref="D1140:D1141"/>
    <mergeCell ref="E1140:E1141"/>
    <mergeCell ref="F1140:F1141"/>
    <mergeCell ref="G1140:G1141"/>
    <mergeCell ref="G1136:G1137"/>
    <mergeCell ref="B1138:B1139"/>
    <mergeCell ref="C1138:C1139"/>
    <mergeCell ref="D1138:D1139"/>
    <mergeCell ref="E1138:E1139"/>
    <mergeCell ref="F1138:F1139"/>
    <mergeCell ref="G1138:G1139"/>
    <mergeCell ref="B1128:G1128"/>
    <mergeCell ref="B1129:G1129"/>
    <mergeCell ref="B1130:G1130"/>
    <mergeCell ref="B1131:G1131"/>
    <mergeCell ref="B1132:G1132"/>
    <mergeCell ref="B1136:B1137"/>
    <mergeCell ref="C1136:C1137"/>
    <mergeCell ref="D1136:D1137"/>
    <mergeCell ref="E1136:E1137"/>
    <mergeCell ref="F1136:F1137"/>
    <mergeCell ref="B1053:B1054"/>
    <mergeCell ref="C1053:C1054"/>
    <mergeCell ref="D1053:D1054"/>
    <mergeCell ref="E1053:E1054"/>
    <mergeCell ref="F1053:F1054"/>
    <mergeCell ref="G1053:G1054"/>
    <mergeCell ref="B1051:B1052"/>
    <mergeCell ref="C1051:C1052"/>
    <mergeCell ref="D1051:D1052"/>
    <mergeCell ref="E1051:E1052"/>
    <mergeCell ref="F1051:F1052"/>
    <mergeCell ref="G1051:G1052"/>
    <mergeCell ref="B1049:B1050"/>
    <mergeCell ref="C1049:C1050"/>
    <mergeCell ref="D1049:D1050"/>
    <mergeCell ref="E1049:E1050"/>
    <mergeCell ref="F1049:F1050"/>
    <mergeCell ref="G1049:G1050"/>
    <mergeCell ref="B1047:B1048"/>
    <mergeCell ref="C1047:C1048"/>
    <mergeCell ref="D1047:D1048"/>
    <mergeCell ref="E1047:E1048"/>
    <mergeCell ref="F1047:F1048"/>
    <mergeCell ref="G1047:G1048"/>
    <mergeCell ref="B1045:B1046"/>
    <mergeCell ref="C1045:C1046"/>
    <mergeCell ref="D1045:D1046"/>
    <mergeCell ref="E1045:E1046"/>
    <mergeCell ref="F1045:F1046"/>
    <mergeCell ref="G1045:G1046"/>
    <mergeCell ref="B1043:B1044"/>
    <mergeCell ref="C1043:C1044"/>
    <mergeCell ref="D1043:D1044"/>
    <mergeCell ref="E1043:E1044"/>
    <mergeCell ref="F1043:F1044"/>
    <mergeCell ref="G1043:G1044"/>
    <mergeCell ref="B1041:B1042"/>
    <mergeCell ref="C1041:C1042"/>
    <mergeCell ref="D1041:D1042"/>
    <mergeCell ref="E1041:E1042"/>
    <mergeCell ref="F1041:F1042"/>
    <mergeCell ref="G1041:G1042"/>
    <mergeCell ref="B1039:B1040"/>
    <mergeCell ref="C1039:C1040"/>
    <mergeCell ref="D1039:D1040"/>
    <mergeCell ref="E1039:E1040"/>
    <mergeCell ref="F1039:F1040"/>
    <mergeCell ref="G1039:G1040"/>
    <mergeCell ref="B1036:B1037"/>
    <mergeCell ref="C1036:C1037"/>
    <mergeCell ref="D1036:D1037"/>
    <mergeCell ref="E1036:E1037"/>
    <mergeCell ref="F1036:F1037"/>
    <mergeCell ref="G1036:G1037"/>
    <mergeCell ref="B1034:B1035"/>
    <mergeCell ref="C1034:C1035"/>
    <mergeCell ref="D1034:D1035"/>
    <mergeCell ref="E1034:E1035"/>
    <mergeCell ref="F1034:F1035"/>
    <mergeCell ref="G1034:G1035"/>
    <mergeCell ref="G1030:G1031"/>
    <mergeCell ref="B1032:B1033"/>
    <mergeCell ref="C1032:C1033"/>
    <mergeCell ref="D1032:D1033"/>
    <mergeCell ref="E1032:E1033"/>
    <mergeCell ref="F1032:F1033"/>
    <mergeCell ref="G1032:G1033"/>
    <mergeCell ref="B1022:G1022"/>
    <mergeCell ref="B1023:G1023"/>
    <mergeCell ref="B1024:G1024"/>
    <mergeCell ref="B1025:G1025"/>
    <mergeCell ref="B1026:G1026"/>
    <mergeCell ref="B1030:B1031"/>
    <mergeCell ref="C1030:C1031"/>
    <mergeCell ref="D1030:D1031"/>
    <mergeCell ref="E1030:E1031"/>
    <mergeCell ref="F1030:F1031"/>
    <mergeCell ref="E946:E947"/>
    <mergeCell ref="F946:F947"/>
    <mergeCell ref="G946:G947"/>
    <mergeCell ref="B944:B945"/>
    <mergeCell ref="C944:C945"/>
    <mergeCell ref="D944:D945"/>
    <mergeCell ref="E944:E945"/>
    <mergeCell ref="F944:F945"/>
    <mergeCell ref="G944:G945"/>
    <mergeCell ref="B942:B943"/>
    <mergeCell ref="C942:C943"/>
    <mergeCell ref="D942:D943"/>
    <mergeCell ref="E942:E943"/>
    <mergeCell ref="F942:F943"/>
    <mergeCell ref="G942:G943"/>
    <mergeCell ref="B940:B941"/>
    <mergeCell ref="C940:C941"/>
    <mergeCell ref="D940:D941"/>
    <mergeCell ref="E940:E941"/>
    <mergeCell ref="F940:F941"/>
    <mergeCell ref="G940:G941"/>
    <mergeCell ref="B938:B939"/>
    <mergeCell ref="C938:C939"/>
    <mergeCell ref="D938:D939"/>
    <mergeCell ref="E938:E939"/>
    <mergeCell ref="F938:F939"/>
    <mergeCell ref="G938:G939"/>
    <mergeCell ref="B936:B937"/>
    <mergeCell ref="C936:C937"/>
    <mergeCell ref="D936:D937"/>
    <mergeCell ref="E936:E937"/>
    <mergeCell ref="F936:F937"/>
    <mergeCell ref="G936:G937"/>
    <mergeCell ref="B934:B935"/>
    <mergeCell ref="C934:C935"/>
    <mergeCell ref="D934:D935"/>
    <mergeCell ref="E934:E935"/>
    <mergeCell ref="F934:F935"/>
    <mergeCell ref="G934:G935"/>
    <mergeCell ref="B932:B933"/>
    <mergeCell ref="C932:C933"/>
    <mergeCell ref="D932:D933"/>
    <mergeCell ref="E932:E933"/>
    <mergeCell ref="F932:F933"/>
    <mergeCell ref="G932:G933"/>
    <mergeCell ref="B929:B930"/>
    <mergeCell ref="C929:C930"/>
    <mergeCell ref="D929:D930"/>
    <mergeCell ref="E929:E930"/>
    <mergeCell ref="F929:F930"/>
    <mergeCell ref="G929:G930"/>
    <mergeCell ref="B927:B928"/>
    <mergeCell ref="C927:C928"/>
    <mergeCell ref="D927:D928"/>
    <mergeCell ref="E927:E928"/>
    <mergeCell ref="F927:F928"/>
    <mergeCell ref="G927:G928"/>
    <mergeCell ref="G923:G924"/>
    <mergeCell ref="B925:B926"/>
    <mergeCell ref="C925:C926"/>
    <mergeCell ref="D925:D926"/>
    <mergeCell ref="E925:E926"/>
    <mergeCell ref="F925:F926"/>
    <mergeCell ref="G925:G926"/>
    <mergeCell ref="B916:G916"/>
    <mergeCell ref="B917:G917"/>
    <mergeCell ref="B918:G918"/>
    <mergeCell ref="B919:G919"/>
    <mergeCell ref="B920:G920"/>
    <mergeCell ref="B923:B924"/>
    <mergeCell ref="C923:C924"/>
    <mergeCell ref="D923:D924"/>
    <mergeCell ref="E923:E924"/>
    <mergeCell ref="F923:F924"/>
    <mergeCell ref="B841:B842"/>
    <mergeCell ref="C841:C842"/>
    <mergeCell ref="D841:D842"/>
    <mergeCell ref="E841:E842"/>
    <mergeCell ref="F841:F842"/>
    <mergeCell ref="G841:G842"/>
    <mergeCell ref="B839:B840"/>
    <mergeCell ref="C839:C840"/>
    <mergeCell ref="D839:D840"/>
    <mergeCell ref="E839:E840"/>
    <mergeCell ref="F839:F840"/>
    <mergeCell ref="G839:G840"/>
    <mergeCell ref="B837:B838"/>
    <mergeCell ref="C837:C838"/>
    <mergeCell ref="D837:D838"/>
    <mergeCell ref="E837:E838"/>
    <mergeCell ref="F837:F838"/>
    <mergeCell ref="G837:G838"/>
    <mergeCell ref="B835:B836"/>
    <mergeCell ref="C835:C836"/>
    <mergeCell ref="D835:D836"/>
    <mergeCell ref="E835:E836"/>
    <mergeCell ref="F835:F836"/>
    <mergeCell ref="G835:G836"/>
    <mergeCell ref="B833:B834"/>
    <mergeCell ref="C833:C834"/>
    <mergeCell ref="D833:D834"/>
    <mergeCell ref="E833:E834"/>
    <mergeCell ref="F833:F834"/>
    <mergeCell ref="G833:G834"/>
    <mergeCell ref="B831:B832"/>
    <mergeCell ref="C831:C832"/>
    <mergeCell ref="D831:D832"/>
    <mergeCell ref="E831:E832"/>
    <mergeCell ref="F831:F832"/>
    <mergeCell ref="G831:G832"/>
    <mergeCell ref="B829:B830"/>
    <mergeCell ref="C829:C830"/>
    <mergeCell ref="D829:D830"/>
    <mergeCell ref="E829:E830"/>
    <mergeCell ref="F829:F830"/>
    <mergeCell ref="G829:G830"/>
    <mergeCell ref="B827:B828"/>
    <mergeCell ref="C827:C828"/>
    <mergeCell ref="D827:D828"/>
    <mergeCell ref="E827:E828"/>
    <mergeCell ref="F827:F828"/>
    <mergeCell ref="G827:G828"/>
    <mergeCell ref="B824:B825"/>
    <mergeCell ref="C824:C825"/>
    <mergeCell ref="D824:D825"/>
    <mergeCell ref="E824:E825"/>
    <mergeCell ref="F824:F825"/>
    <mergeCell ref="G824:G825"/>
    <mergeCell ref="B822:B823"/>
    <mergeCell ref="C822:C823"/>
    <mergeCell ref="D822:D823"/>
    <mergeCell ref="E822:E823"/>
    <mergeCell ref="F822:F823"/>
    <mergeCell ref="G822:G823"/>
    <mergeCell ref="G818:G819"/>
    <mergeCell ref="B820:B821"/>
    <mergeCell ref="C820:C821"/>
    <mergeCell ref="D820:D821"/>
    <mergeCell ref="E820:E821"/>
    <mergeCell ref="F820:F821"/>
    <mergeCell ref="G820:G821"/>
    <mergeCell ref="B811:G811"/>
    <mergeCell ref="B812:G812"/>
    <mergeCell ref="B813:G813"/>
    <mergeCell ref="B814:G814"/>
    <mergeCell ref="B815:G815"/>
    <mergeCell ref="B818:B819"/>
    <mergeCell ref="C818:C819"/>
    <mergeCell ref="D818:D819"/>
    <mergeCell ref="E818:E819"/>
    <mergeCell ref="F818:F819"/>
    <mergeCell ref="B735:B736"/>
    <mergeCell ref="C735:C736"/>
    <mergeCell ref="D735:D736"/>
    <mergeCell ref="E735:E736"/>
    <mergeCell ref="F735:F736"/>
    <mergeCell ref="G735:G736"/>
    <mergeCell ref="B733:B734"/>
    <mergeCell ref="C733:C734"/>
    <mergeCell ref="D733:D734"/>
    <mergeCell ref="E733:E734"/>
    <mergeCell ref="F733:F734"/>
    <mergeCell ref="G733:G734"/>
    <mergeCell ref="B731:B732"/>
    <mergeCell ref="C731:C732"/>
    <mergeCell ref="D731:D732"/>
    <mergeCell ref="E731:E732"/>
    <mergeCell ref="F731:F732"/>
    <mergeCell ref="G731:G732"/>
    <mergeCell ref="B729:B730"/>
    <mergeCell ref="C729:C730"/>
    <mergeCell ref="D729:D730"/>
    <mergeCell ref="E729:E730"/>
    <mergeCell ref="F729:F730"/>
    <mergeCell ref="G729:G730"/>
    <mergeCell ref="B727:B728"/>
    <mergeCell ref="C727:C728"/>
    <mergeCell ref="D727:D728"/>
    <mergeCell ref="E727:E728"/>
    <mergeCell ref="F727:F728"/>
    <mergeCell ref="G727:G728"/>
    <mergeCell ref="B725:B726"/>
    <mergeCell ref="C725:C726"/>
    <mergeCell ref="D725:D726"/>
    <mergeCell ref="E725:E726"/>
    <mergeCell ref="F725:F726"/>
    <mergeCell ref="G725:G726"/>
    <mergeCell ref="B723:B724"/>
    <mergeCell ref="C723:C724"/>
    <mergeCell ref="D723:D724"/>
    <mergeCell ref="E723:E724"/>
    <mergeCell ref="F723:F724"/>
    <mergeCell ref="G723:G724"/>
    <mergeCell ref="B721:B722"/>
    <mergeCell ref="C721:C722"/>
    <mergeCell ref="D721:D722"/>
    <mergeCell ref="E721:E722"/>
    <mergeCell ref="F721:F722"/>
    <mergeCell ref="G721:G722"/>
    <mergeCell ref="B718:B719"/>
    <mergeCell ref="C718:C719"/>
    <mergeCell ref="D718:D719"/>
    <mergeCell ref="E718:E719"/>
    <mergeCell ref="F718:F719"/>
    <mergeCell ref="G718:G719"/>
    <mergeCell ref="B716:B717"/>
    <mergeCell ref="C716:C717"/>
    <mergeCell ref="D716:D717"/>
    <mergeCell ref="E716:E717"/>
    <mergeCell ref="F716:F717"/>
    <mergeCell ref="G716:G717"/>
    <mergeCell ref="G712:G713"/>
    <mergeCell ref="B714:B715"/>
    <mergeCell ref="C714:C715"/>
    <mergeCell ref="D714:D715"/>
    <mergeCell ref="E714:E715"/>
    <mergeCell ref="F714:F715"/>
    <mergeCell ref="G714:G715"/>
    <mergeCell ref="B705:G705"/>
    <mergeCell ref="B706:G706"/>
    <mergeCell ref="B707:G707"/>
    <mergeCell ref="B708:G708"/>
    <mergeCell ref="B709:G709"/>
    <mergeCell ref="B712:B713"/>
    <mergeCell ref="C712:C713"/>
    <mergeCell ref="D712:D713"/>
    <mergeCell ref="E712:E713"/>
    <mergeCell ref="F712:F713"/>
    <mergeCell ref="B636:B637"/>
    <mergeCell ref="C636:C637"/>
    <mergeCell ref="D636:D637"/>
    <mergeCell ref="E636:E637"/>
    <mergeCell ref="F636:F637"/>
    <mergeCell ref="G636:G637"/>
    <mergeCell ref="B634:B635"/>
    <mergeCell ref="C634:C635"/>
    <mergeCell ref="D634:D635"/>
    <mergeCell ref="E634:E635"/>
    <mergeCell ref="F634:F635"/>
    <mergeCell ref="G634:G635"/>
    <mergeCell ref="B632:B633"/>
    <mergeCell ref="C632:C633"/>
    <mergeCell ref="D632:D633"/>
    <mergeCell ref="E632:E633"/>
    <mergeCell ref="F632:F633"/>
    <mergeCell ref="G632:G633"/>
    <mergeCell ref="B630:B631"/>
    <mergeCell ref="C630:C631"/>
    <mergeCell ref="D630:D631"/>
    <mergeCell ref="E630:E631"/>
    <mergeCell ref="F630:F631"/>
    <mergeCell ref="G630:G631"/>
    <mergeCell ref="B628:B629"/>
    <mergeCell ref="C628:C629"/>
    <mergeCell ref="D628:D629"/>
    <mergeCell ref="E628:E629"/>
    <mergeCell ref="F628:F629"/>
    <mergeCell ref="G628:G629"/>
    <mergeCell ref="B626:B627"/>
    <mergeCell ref="C626:C627"/>
    <mergeCell ref="D626:D627"/>
    <mergeCell ref="E626:E627"/>
    <mergeCell ref="F626:F627"/>
    <mergeCell ref="G626:G627"/>
    <mergeCell ref="B624:B625"/>
    <mergeCell ref="C624:C625"/>
    <mergeCell ref="D624:D625"/>
    <mergeCell ref="E624:E625"/>
    <mergeCell ref="F624:F625"/>
    <mergeCell ref="G624:G625"/>
    <mergeCell ref="B622:B623"/>
    <mergeCell ref="C622:C623"/>
    <mergeCell ref="D622:D623"/>
    <mergeCell ref="E622:E623"/>
    <mergeCell ref="F622:F623"/>
    <mergeCell ref="G622:G623"/>
    <mergeCell ref="B619:B620"/>
    <mergeCell ref="C619:C620"/>
    <mergeCell ref="D619:D620"/>
    <mergeCell ref="E619:E620"/>
    <mergeCell ref="F619:F620"/>
    <mergeCell ref="G619:G620"/>
    <mergeCell ref="B617:B618"/>
    <mergeCell ref="C617:C618"/>
    <mergeCell ref="D617:D618"/>
    <mergeCell ref="E617:E618"/>
    <mergeCell ref="F617:F618"/>
    <mergeCell ref="G617:G618"/>
    <mergeCell ref="G613:G614"/>
    <mergeCell ref="B615:B616"/>
    <mergeCell ref="C615:C616"/>
    <mergeCell ref="D615:D616"/>
    <mergeCell ref="E615:E616"/>
    <mergeCell ref="F615:F616"/>
    <mergeCell ref="G615:G616"/>
    <mergeCell ref="B606:G606"/>
    <mergeCell ref="B607:G607"/>
    <mergeCell ref="B608:G608"/>
    <mergeCell ref="B609:G609"/>
    <mergeCell ref="B610:G610"/>
    <mergeCell ref="B613:B614"/>
    <mergeCell ref="C613:C614"/>
    <mergeCell ref="D613:D614"/>
    <mergeCell ref="E613:E614"/>
    <mergeCell ref="F613:F614"/>
  </mergeCells>
  <pageMargins left="0.51181102362204722" right="0.70866141732283472" top="0.74803149606299213" bottom="0.74803149606299213" header="0.31496062992125984" footer="0.31496062992125984"/>
  <pageSetup paperSize="9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EVAL-GAST-CORTE-31-12-14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Julio</dc:creator>
  <cp:lastModifiedBy>Navarro Julio</cp:lastModifiedBy>
  <cp:lastPrinted>2015-01-27T21:02:01Z</cp:lastPrinted>
  <dcterms:created xsi:type="dcterms:W3CDTF">2014-10-18T15:27:30Z</dcterms:created>
  <dcterms:modified xsi:type="dcterms:W3CDTF">2015-01-27T22:07:17Z</dcterms:modified>
</cp:coreProperties>
</file>